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75" activeTab="7"/>
  </bookViews>
  <sheets>
    <sheet name="Стр" sheetId="1" r:id="rId1"/>
    <sheet name="Усл" sheetId="2" r:id="rId2"/>
    <sheet name="Пром (2)" sheetId="3" r:id="rId3"/>
    <sheet name="ДД 9 мес" sheetId="4" r:id="rId4"/>
    <sheet name="ДД" sheetId="5" r:id="rId5"/>
    <sheet name="ВТП" sheetId="6" r:id="rId6"/>
    <sheet name="по Сессии прогноз" sheetId="7" r:id="rId7"/>
    <sheet name="по Сессии 9мес" sheetId="8" r:id="rId8"/>
  </sheets>
  <externalReferences>
    <externalReference r:id="rId11"/>
  </externalReferences>
  <definedNames>
    <definedName name="_GoBack" localSheetId="6">'по Сессии прогноз'!#REF!</definedName>
    <definedName name="_xlnm.Print_Area" localSheetId="2">'Пром (2)'!$A$1:$AE$31</definedName>
    <definedName name="_xlnm.Print_Area" localSheetId="1">'Усл'!$A$1:$V$21</definedName>
  </definedNames>
  <calcPr fullCalcOnLoad="1"/>
</workbook>
</file>

<file path=xl/sharedStrings.xml><?xml version="1.0" encoding="utf-8"?>
<sst xmlns="http://schemas.openxmlformats.org/spreadsheetml/2006/main" count="253" uniqueCount="156">
  <si>
    <t>Показатели</t>
  </si>
  <si>
    <t>2013г.</t>
  </si>
  <si>
    <t xml:space="preserve"> </t>
  </si>
  <si>
    <t>Промышленность</t>
  </si>
  <si>
    <t>Строительство</t>
  </si>
  <si>
    <t>Фонд оплаты труда</t>
  </si>
  <si>
    <t>Основные показатели социально-экономического развития</t>
  </si>
  <si>
    <t>Статьи доходов</t>
  </si>
  <si>
    <t>Пенсии и пособия (ПФ)</t>
  </si>
  <si>
    <t>Субсидии на строительство жилья</t>
  </si>
  <si>
    <t>Доходы предпринимателей</t>
  </si>
  <si>
    <t xml:space="preserve">Доходы лиц занимающихся трудовой деятельностью вне района                    </t>
  </si>
  <si>
    <t xml:space="preserve">Доходы от произведенного молока                                                                                 </t>
  </si>
  <si>
    <t xml:space="preserve">Доходы от произведенного мяса                                                                                         </t>
  </si>
  <si>
    <t xml:space="preserve">Картофель и овощи                                                                                                                                        </t>
  </si>
  <si>
    <t>Кредиты из банков района</t>
  </si>
  <si>
    <t>Пособии и субсидии при ГБУ ЦЗН</t>
  </si>
  <si>
    <t>Всего доходы населения</t>
  </si>
  <si>
    <t>Численность населения, чел.</t>
  </si>
  <si>
    <t>Среднемесячный доход на душу населения, рублей</t>
  </si>
  <si>
    <t>№ п/п</t>
  </si>
  <si>
    <t>Валовый региональный продукт</t>
  </si>
  <si>
    <t>С/Х предприятия</t>
  </si>
  <si>
    <t>Услуги</t>
  </si>
  <si>
    <t>Малый бизнес</t>
  </si>
  <si>
    <t>Услуги культуры, медицины, образования</t>
  </si>
  <si>
    <t>Итого</t>
  </si>
  <si>
    <t>Продукция личного подсобного хозяйства</t>
  </si>
  <si>
    <t>Капвложения выполненные собственными силами</t>
  </si>
  <si>
    <t xml:space="preserve">Торговля </t>
  </si>
  <si>
    <t>(тыс. руб)</t>
  </si>
  <si>
    <t xml:space="preserve">№ </t>
  </si>
  <si>
    <t xml:space="preserve">Численность постоянного населения, чел. </t>
  </si>
  <si>
    <t>Валовой  территориальный продукт - всего, тыс.руб..</t>
  </si>
  <si>
    <t>Продукция сельского хозяйства во всех категориях хозяйств, тыс.руб.</t>
  </si>
  <si>
    <t>в т.ч. с/х предпрития, тыс.руб.</t>
  </si>
  <si>
    <t>в т.ч. частный сектор, тыс.руб.</t>
  </si>
  <si>
    <t>Объем  выполненных строительных работ, тыс.руб.</t>
  </si>
  <si>
    <t>Оборот розничной торговли, тыс.руб.</t>
  </si>
  <si>
    <t>Фонд заработной платы, тыс.руб.</t>
  </si>
  <si>
    <t xml:space="preserve">Среднемесячная заработная плата, тыс.руб.  </t>
  </si>
  <si>
    <t>Численность  безработных, зарегистрированных в службах занятости, тыс.руб.</t>
  </si>
  <si>
    <t>Уровень зарегистрированной безработицы, тыс.руб.</t>
  </si>
  <si>
    <t>Денежные доходы населения - всего, тыс.руб.</t>
  </si>
  <si>
    <t xml:space="preserve">Денежные доходы на душу населения, тыс.руб.             </t>
  </si>
  <si>
    <t>Объем инвестиций в основной капитал, тыс.руб.</t>
  </si>
  <si>
    <t>Объем промышленного производства, тыс.руб.</t>
  </si>
  <si>
    <t>Субсидии на оплату услуг ЖКХ,  прочие</t>
  </si>
  <si>
    <t>Денежные доходы населения, млн.руб.</t>
  </si>
  <si>
    <t>9 мес. 2013г.</t>
  </si>
  <si>
    <t>Прогноз 2015г.</t>
  </si>
  <si>
    <t>Прогноз 2016г.</t>
  </si>
  <si>
    <t>Всего доходы населения, млн. руб.</t>
  </si>
  <si>
    <t>Среднесписочная численность работающих, чел.</t>
  </si>
  <si>
    <t>9 мес. 2014г.</t>
  </si>
  <si>
    <t>Оценка на 2014г.</t>
  </si>
  <si>
    <t>Прогноз 2017г.</t>
  </si>
  <si>
    <r>
      <rPr>
        <b/>
        <sz val="9"/>
        <rFont val="Arial CYR"/>
        <family val="0"/>
      </rPr>
      <t>9 мес 2014г.</t>
    </r>
    <r>
      <rPr>
        <sz val="9"/>
        <rFont val="Arial Cyr"/>
        <family val="0"/>
      </rPr>
      <t xml:space="preserve"> к    9 мес 2013г., %</t>
    </r>
  </si>
  <si>
    <t>(+,-) к 2013г.</t>
  </si>
  <si>
    <t>2014г. на прогноз</t>
  </si>
  <si>
    <r>
      <rPr>
        <b/>
        <sz val="9"/>
        <color indexed="10"/>
        <rFont val="Arial CYR"/>
        <family val="0"/>
      </rPr>
      <t>2014г.</t>
    </r>
    <r>
      <rPr>
        <sz val="9"/>
        <rFont val="Arial Cyr"/>
        <family val="0"/>
      </rPr>
      <t xml:space="preserve"> к  2013г., %</t>
    </r>
  </si>
  <si>
    <r>
      <rPr>
        <b/>
        <sz val="10"/>
        <color indexed="10"/>
        <rFont val="Arial Cyr"/>
        <family val="0"/>
      </rPr>
      <t>2014г.</t>
    </r>
    <r>
      <rPr>
        <sz val="10"/>
        <rFont val="Arial Cyr"/>
        <family val="0"/>
      </rPr>
      <t xml:space="preserve"> %          к прогноз 2014г. </t>
    </r>
  </si>
  <si>
    <r>
      <rPr>
        <b/>
        <sz val="9"/>
        <color indexed="10"/>
        <rFont val="Arial CYR"/>
        <family val="0"/>
      </rPr>
      <t>2015г.</t>
    </r>
    <r>
      <rPr>
        <sz val="9"/>
        <rFont val="Arial Cyr"/>
        <family val="0"/>
      </rPr>
      <t xml:space="preserve"> к  2014г., %</t>
    </r>
  </si>
  <si>
    <r>
      <rPr>
        <b/>
        <sz val="10"/>
        <color indexed="10"/>
        <rFont val="Arial Cyr"/>
        <family val="0"/>
      </rPr>
      <t>2017г.</t>
    </r>
    <r>
      <rPr>
        <sz val="10"/>
        <rFont val="Arial Cyr"/>
        <family val="0"/>
      </rPr>
      <t xml:space="preserve"> % к 2014г.</t>
    </r>
  </si>
  <si>
    <t>Балтасинского муниципального района за 9 мес 2014г.</t>
  </si>
  <si>
    <t>Прогноз</t>
  </si>
  <si>
    <t>2015г.</t>
  </si>
  <si>
    <t>Ожидаемые основные показатели социально-экономического развития</t>
  </si>
  <si>
    <t>Балтасинского муниципального района за 2014г. и прогноз на 2015-2017г.г.</t>
  </si>
  <si>
    <r>
      <rPr>
        <b/>
        <sz val="9"/>
        <color indexed="10"/>
        <rFont val="Arial CYR"/>
        <family val="0"/>
      </rPr>
      <t>2014г.</t>
    </r>
    <r>
      <rPr>
        <b/>
        <sz val="9"/>
        <rFont val="Arial CYR"/>
        <family val="0"/>
      </rPr>
      <t xml:space="preserve"> к  2013г., %</t>
    </r>
  </si>
  <si>
    <r>
      <rPr>
        <b/>
        <sz val="10"/>
        <color indexed="10"/>
        <rFont val="Arial Cyr"/>
        <family val="0"/>
      </rPr>
      <t>2014г.</t>
    </r>
    <r>
      <rPr>
        <b/>
        <sz val="10"/>
        <rFont val="Arial Cyr"/>
        <family val="0"/>
      </rPr>
      <t xml:space="preserve"> %          к прогноз 2014г. </t>
    </r>
  </si>
  <si>
    <r>
      <rPr>
        <b/>
        <sz val="9"/>
        <color indexed="10"/>
        <rFont val="Arial CYR"/>
        <family val="0"/>
      </rPr>
      <t>2015г.</t>
    </r>
    <r>
      <rPr>
        <b/>
        <sz val="9"/>
        <rFont val="Arial CYR"/>
        <family val="0"/>
      </rPr>
      <t xml:space="preserve"> к  2014г., %</t>
    </r>
  </si>
  <si>
    <r>
      <rPr>
        <b/>
        <sz val="10"/>
        <color indexed="10"/>
        <rFont val="Arial Cyr"/>
        <family val="0"/>
      </rPr>
      <t>2017г.</t>
    </r>
    <r>
      <rPr>
        <b/>
        <sz val="10"/>
        <rFont val="Arial Cyr"/>
        <family val="0"/>
      </rPr>
      <t xml:space="preserve"> % к 2014г.</t>
    </r>
  </si>
  <si>
    <t>Сумма дохода, тыс.руб.</t>
  </si>
  <si>
    <r>
      <rPr>
        <b/>
        <sz val="9"/>
        <rFont val="Arial CYR"/>
        <family val="0"/>
      </rPr>
      <t>2014г.</t>
    </r>
    <r>
      <rPr>
        <sz val="9"/>
        <rFont val="Arial Cyr"/>
        <family val="0"/>
      </rPr>
      <t xml:space="preserve"> к    2013г., %</t>
    </r>
  </si>
  <si>
    <t>2013 г</t>
  </si>
  <si>
    <t>2014 г</t>
  </si>
  <si>
    <t>Субсидии на оплату услуг ЖКХ,  субсидии сельской интеллигенции, детские субсидии, на приобретение жилья ветеранам, прочие</t>
  </si>
  <si>
    <t>Доходы лиц незарегистрированные как ИП, занятые индивидуальном трудом</t>
  </si>
  <si>
    <t>Среднемесячный доход на душу населения , рублей</t>
  </si>
  <si>
    <t>Прогноз денежных доходов населения по Балтасинскому муниципальному району РТ на 2015-2017г.г.</t>
  </si>
  <si>
    <t>Денежные доходы населения за 9 месяцев 2014 года</t>
  </si>
  <si>
    <t>Внутренний валовый продукт                                                                                                                                                                                                                                                                                                                                             Балтасинского района прогноз за 9 месяцев 2014 год</t>
  </si>
  <si>
    <t>Ожидаемый внутренний валовый продукт                                                                                                                                                                                                                                                                                                                                             Балтасинского района за 2014 год и прогноз на 2015-2017г.г.</t>
  </si>
  <si>
    <t>Наименование предприятия</t>
  </si>
  <si>
    <t>Объем реализации,                 тыс. руб.</t>
  </si>
  <si>
    <t>Товарооборот, тыс.руб.</t>
  </si>
  <si>
    <t>Себестоимость, тыс. руб.</t>
  </si>
  <si>
    <t>Прибыль, тыс.руб.</t>
  </si>
  <si>
    <t>Фонд оплаты труда,        тыс. руб.</t>
  </si>
  <si>
    <t>Среднесписочная численность, чел.</t>
  </si>
  <si>
    <t>Среднемесячная заработная плата, руб.</t>
  </si>
  <si>
    <t>средн. З/П к  ПМ, 5143,85 руб.</t>
  </si>
  <si>
    <t>средн. З/П к  МПБ, 11026,44 руб.</t>
  </si>
  <si>
    <t>% к 2013г.</t>
  </si>
  <si>
    <t>(+,-)</t>
  </si>
  <si>
    <t>2005г</t>
  </si>
  <si>
    <t>2006г</t>
  </si>
  <si>
    <t>%</t>
  </si>
  <si>
    <t>ОАО Агрохимсервис</t>
  </si>
  <si>
    <t>ОАО Татарстан соте</t>
  </si>
  <si>
    <t>ООО Азык</t>
  </si>
  <si>
    <t>ООО "Кара - Куль"</t>
  </si>
  <si>
    <t>ООО Ушма</t>
  </si>
  <si>
    <t>ООО Сельхозтехника</t>
  </si>
  <si>
    <t>Ива Мебель(ипХасанов)</t>
  </si>
  <si>
    <t>ООО Агропромснаб</t>
  </si>
  <si>
    <t>ООО Энергетика</t>
  </si>
  <si>
    <t>ПО Общепит</t>
  </si>
  <si>
    <t>ПО Хлеб</t>
  </si>
  <si>
    <t>Стройремтех (промыш)</t>
  </si>
  <si>
    <t>ООО Мельпром</t>
  </si>
  <si>
    <t>ООО Профиль</t>
  </si>
  <si>
    <t>ИП Гарипова Факия Р</t>
  </si>
  <si>
    <t>ИП Сагитова Расима К</t>
  </si>
  <si>
    <t>ИП Ахатов Ильдус Н</t>
  </si>
  <si>
    <t>Балтасин.мясопродукт</t>
  </si>
  <si>
    <t>ИП Ситдиков ФТ</t>
  </si>
  <si>
    <t>ООО "ПМК-5" ТГСС</t>
  </si>
  <si>
    <t>Всего по району</t>
  </si>
  <si>
    <t>Объем производства,          тыс. руб.</t>
  </si>
  <si>
    <t xml:space="preserve"> Основные показатели промышленных предприятий Балтасинского района РТ за 9 месяцев 2014 г.</t>
  </si>
  <si>
    <t>Объем оказанных услуг,        тыс. руб.</t>
  </si>
  <si>
    <t>Объем услуг на 1раб., тыс.рублей</t>
  </si>
  <si>
    <t>ОАО"БалтасинскоеМППЖКХ"</t>
  </si>
  <si>
    <t>ООО"Управляющая компания"</t>
  </si>
  <si>
    <t>ООО "Тепло"</t>
  </si>
  <si>
    <t>Ципьинское МПП ЖКХ</t>
  </si>
  <si>
    <t>РУЭС</t>
  </si>
  <si>
    <t>РУПС</t>
  </si>
  <si>
    <t>ООО Земля</t>
  </si>
  <si>
    <t>ООО Сельэнергосервис</t>
  </si>
  <si>
    <t>Молокосборщики</t>
  </si>
  <si>
    <t>Балтасинский РЭС</t>
  </si>
  <si>
    <t>ЭПУ Балтаси Газ</t>
  </si>
  <si>
    <t xml:space="preserve"> Основные производственно-экономические показатели предприятий оказывающих услуги Балтасинского района РТ за 9 месяцев 2014 года</t>
  </si>
  <si>
    <t>выработка на 1 раболтника, тыс.руб.</t>
  </si>
  <si>
    <t>Объем выполненных работ тыс. руб.</t>
  </si>
  <si>
    <t>Объем работ на 1раб., тыс.рублей</t>
  </si>
  <si>
    <t>Стройсервис</t>
  </si>
  <si>
    <t>ООО Юлчы</t>
  </si>
  <si>
    <t>ООО Стройремтех</t>
  </si>
  <si>
    <t>ООО ПМК-5 ТГСС</t>
  </si>
  <si>
    <t>ООО Татавтодор МДСУ - 1</t>
  </si>
  <si>
    <t>ООО Водстрой</t>
  </si>
  <si>
    <t>ООО Мелиоратор</t>
  </si>
  <si>
    <t>ООО Гидроремонт</t>
  </si>
  <si>
    <t>ООО "Гранит"(Мегаом)</t>
  </si>
  <si>
    <t>ООО Элви-Плюс</t>
  </si>
  <si>
    <t>ООО Юмарт</t>
  </si>
  <si>
    <t xml:space="preserve">       </t>
  </si>
  <si>
    <t>Основные производственно-экономические показатели строительных предприятий  Балтасинского района РТ за 9 месяцев 2014 года.</t>
  </si>
  <si>
    <t>2016г.</t>
  </si>
  <si>
    <t>2017г.</t>
  </si>
  <si>
    <t>Приложение № 2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</si>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</sst>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 CYR"/>
      <family val="0"/>
    </font>
    <font>
      <sz val="8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53" applyAlignment="1">
      <alignment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1" fontId="7" fillId="0" borderId="10" xfId="53" applyNumberFormat="1" applyFont="1" applyBorder="1" applyAlignment="1">
      <alignment vertical="center" wrapText="1"/>
      <protection/>
    </xf>
    <xf numFmtId="0" fontId="4" fillId="0" borderId="10" xfId="53" applyFont="1" applyBorder="1" applyAlignment="1">
      <alignment horizontal="right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4" fillId="0" borderId="0" xfId="53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left" vertical="center" wrapText="1"/>
      <protection/>
    </xf>
    <xf numFmtId="1" fontId="7" fillId="0" borderId="10" xfId="53" applyNumberFormat="1" applyFont="1" applyBorder="1" applyAlignment="1">
      <alignment horizontal="right" vertical="center" wrapText="1"/>
      <protection/>
    </xf>
    <xf numFmtId="1" fontId="4" fillId="0" borderId="10" xfId="53" applyNumberFormat="1" applyFont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 wrapText="1"/>
      <protection/>
    </xf>
    <xf numFmtId="1" fontId="7" fillId="0" borderId="10" xfId="0" applyNumberFormat="1" applyFont="1" applyBorder="1" applyAlignment="1">
      <alignment horizontal="right" vertical="center" wrapText="1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170" fontId="7" fillId="0" borderId="10" xfId="53" applyNumberFormat="1" applyFont="1" applyBorder="1" applyAlignment="1">
      <alignment vertical="center" wrapText="1"/>
      <protection/>
    </xf>
    <xf numFmtId="1" fontId="9" fillId="0" borderId="10" xfId="53" applyNumberFormat="1" applyFont="1" applyBorder="1" applyAlignment="1">
      <alignment horizontal="right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170" fontId="9" fillId="0" borderId="10" xfId="53" applyNumberFormat="1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169" fontId="4" fillId="0" borderId="0" xfId="53" applyNumberFormat="1" applyFont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4" fillId="0" borderId="10" xfId="53" applyBorder="1" applyAlignment="1">
      <alignment vertical="center" wrapText="1"/>
      <protection/>
    </xf>
    <xf numFmtId="170" fontId="4" fillId="0" borderId="10" xfId="53" applyNumberFormat="1" applyBorder="1" applyAlignment="1">
      <alignment vertical="center" wrapText="1"/>
      <protection/>
    </xf>
    <xf numFmtId="170" fontId="7" fillId="0" borderId="10" xfId="53" applyNumberFormat="1" applyFont="1" applyBorder="1" applyAlignment="1">
      <alignment horizontal="right" vertical="center" wrapText="1"/>
      <protection/>
    </xf>
    <xf numFmtId="170" fontId="4" fillId="0" borderId="10" xfId="53" applyNumberFormat="1" applyFont="1" applyBorder="1" applyAlignment="1">
      <alignment horizontal="right" vertical="center" wrapText="1"/>
      <protection/>
    </xf>
    <xf numFmtId="1" fontId="4" fillId="0" borderId="10" xfId="53" applyNumberFormat="1" applyFont="1" applyBorder="1" applyAlignment="1">
      <alignment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9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" fontId="9" fillId="0" borderId="0" xfId="53" applyNumberFormat="1" applyFont="1" applyBorder="1" applyAlignment="1">
      <alignment horizontal="right" vertical="center" wrapText="1"/>
      <protection/>
    </xf>
    <xf numFmtId="170" fontId="9" fillId="0" borderId="0" xfId="53" applyNumberFormat="1" applyFont="1" applyBorder="1" applyAlignment="1">
      <alignment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center" wrapText="1"/>
      <protection/>
    </xf>
    <xf numFmtId="1" fontId="17" fillId="0" borderId="0" xfId="53" applyNumberFormat="1" applyFont="1" applyAlignment="1">
      <alignment vertical="center" wrapText="1"/>
      <protection/>
    </xf>
    <xf numFmtId="170" fontId="10" fillId="0" borderId="0" xfId="53" applyNumberFormat="1" applyFont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10" fillId="0" borderId="12" xfId="53" applyFont="1" applyBorder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vertical="center" wrapText="1"/>
    </xf>
    <xf numFmtId="1" fontId="56" fillId="0" borderId="10" xfId="0" applyNumberFormat="1" applyFont="1" applyBorder="1" applyAlignment="1">
      <alignment vertical="center" wrapText="1"/>
    </xf>
    <xf numFmtId="1" fontId="6" fillId="0" borderId="10" xfId="53" applyNumberFormat="1" applyFont="1" applyBorder="1" applyAlignment="1">
      <alignment vertical="center" wrapText="1"/>
      <protection/>
    </xf>
    <xf numFmtId="2" fontId="4" fillId="0" borderId="10" xfId="53" applyNumberFormat="1" applyFont="1" applyBorder="1" applyAlignment="1">
      <alignment vertical="center" wrapText="1"/>
      <protection/>
    </xf>
    <xf numFmtId="1" fontId="3" fillId="0" borderId="0" xfId="0" applyNumberFormat="1" applyFont="1" applyAlignment="1">
      <alignment horizontal="center" vertical="center"/>
    </xf>
    <xf numFmtId="2" fontId="8" fillId="0" borderId="10" xfId="53" applyNumberFormat="1" applyFont="1" applyBorder="1" applyAlignment="1">
      <alignment vertical="center" wrapText="1"/>
      <protection/>
    </xf>
    <xf numFmtId="170" fontId="8" fillId="0" borderId="10" xfId="53" applyNumberFormat="1" applyFont="1" applyBorder="1" applyAlignment="1">
      <alignment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53">
      <alignment/>
      <protection/>
    </xf>
    <xf numFmtId="0" fontId="4" fillId="0" borderId="0" xfId="53" applyFont="1">
      <alignment/>
      <protection/>
    </xf>
    <xf numFmtId="170" fontId="4" fillId="0" borderId="10" xfId="53" applyNumberFormat="1" applyFont="1" applyBorder="1" applyAlignment="1">
      <alignment vertical="center"/>
      <protection/>
    </xf>
    <xf numFmtId="1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21" fillId="0" borderId="0" xfId="53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 locked="0"/>
    </xf>
    <xf numFmtId="49" fontId="7" fillId="0" borderId="10" xfId="53" applyNumberFormat="1" applyFont="1" applyBorder="1" applyAlignment="1" applyProtection="1">
      <alignment horizontal="center" vertical="center" wrapText="1"/>
      <protection locked="0"/>
    </xf>
    <xf numFmtId="49" fontId="7" fillId="0" borderId="13" xfId="53" applyNumberFormat="1" applyFont="1" applyBorder="1" applyAlignment="1" applyProtection="1">
      <alignment horizontal="center" vertical="center" wrapText="1"/>
      <protection locked="0"/>
    </xf>
    <xf numFmtId="0" fontId="7" fillId="0" borderId="13" xfId="53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 applyProtection="1">
      <alignment horizontal="right" vertical="center" wrapText="1"/>
      <protection/>
    </xf>
    <xf numFmtId="0" fontId="7" fillId="0" borderId="13" xfId="53" applyFont="1" applyBorder="1" applyAlignment="1" applyProtection="1">
      <alignment horizontal="right" vertical="center" wrapText="1"/>
      <protection/>
    </xf>
    <xf numFmtId="0" fontId="7" fillId="0" borderId="13" xfId="53" applyFont="1" applyBorder="1" applyAlignment="1" applyProtection="1">
      <alignment horizontal="right" vertical="center" wrapText="1"/>
      <protection locked="0"/>
    </xf>
    <xf numFmtId="0" fontId="9" fillId="0" borderId="10" xfId="53" applyFont="1" applyBorder="1">
      <alignment/>
      <protection/>
    </xf>
    <xf numFmtId="1" fontId="7" fillId="0" borderId="10" xfId="53" applyNumberFormat="1" applyFont="1" applyBorder="1" applyAlignment="1">
      <alignment horizontal="right"/>
      <protection/>
    </xf>
    <xf numFmtId="0" fontId="7" fillId="0" borderId="10" xfId="53" applyFont="1" applyBorder="1" applyAlignment="1" applyProtection="1">
      <alignment horizontal="right"/>
      <protection locked="0"/>
    </xf>
    <xf numFmtId="0" fontId="9" fillId="0" borderId="10" xfId="53" applyFont="1" applyBorder="1" applyAlignment="1" applyProtection="1">
      <alignment horizontal="right"/>
      <protection locked="0"/>
    </xf>
    <xf numFmtId="0" fontId="9" fillId="0" borderId="13" xfId="53" applyFont="1" applyBorder="1" applyAlignment="1" applyProtection="1">
      <alignment horizontal="right" vertical="center" wrapText="1"/>
      <protection/>
    </xf>
    <xf numFmtId="1" fontId="7" fillId="0" borderId="10" xfId="53" applyNumberFormat="1" applyFont="1" applyBorder="1" applyAlignment="1" applyProtection="1">
      <alignment horizontal="right"/>
      <protection locked="0"/>
    </xf>
    <xf numFmtId="1" fontId="7" fillId="0" borderId="10" xfId="53" applyNumberFormat="1" applyFont="1" applyBorder="1">
      <alignment/>
      <protection/>
    </xf>
    <xf numFmtId="1" fontId="9" fillId="0" borderId="10" xfId="53" applyNumberFormat="1" applyFont="1" applyBorder="1">
      <alignment/>
      <protection/>
    </xf>
    <xf numFmtId="1" fontId="7" fillId="0" borderId="10" xfId="53" applyNumberFormat="1" applyFont="1" applyBorder="1" applyAlignment="1" applyProtection="1">
      <alignment horizontal="right" vertical="center" wrapText="1"/>
      <protection/>
    </xf>
    <xf numFmtId="0" fontId="7" fillId="0" borderId="10" xfId="53" applyFont="1" applyBorder="1" applyAlignment="1">
      <alignment horizontal="right"/>
      <protection/>
    </xf>
    <xf numFmtId="0" fontId="17" fillId="0" borderId="0" xfId="53" applyFont="1" applyBorder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0" xfId="53" applyFont="1" applyBorder="1" applyAlignment="1">
      <alignment vertical="center"/>
      <protection/>
    </xf>
    <xf numFmtId="0" fontId="1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 applyBorder="1" applyAlignment="1">
      <alignment horizontal="center"/>
      <protection/>
    </xf>
    <xf numFmtId="170" fontId="7" fillId="0" borderId="13" xfId="53" applyNumberFormat="1" applyFont="1" applyBorder="1" applyAlignment="1" applyProtection="1">
      <alignment horizontal="right" vertical="center" wrapText="1"/>
      <protection/>
    </xf>
    <xf numFmtId="170" fontId="7" fillId="0" borderId="13" xfId="53" applyNumberFormat="1" applyFont="1" applyBorder="1">
      <alignment/>
      <protection/>
    </xf>
    <xf numFmtId="170" fontId="7" fillId="0" borderId="13" xfId="53" applyNumberFormat="1" applyFont="1" applyBorder="1" applyAlignment="1" applyProtection="1">
      <alignment horizontal="right" vertical="center" wrapText="1"/>
      <protection locked="0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 applyProtection="1">
      <alignment horizontal="center" vertical="center" wrapText="1"/>
      <protection locked="0"/>
    </xf>
    <xf numFmtId="49" fontId="6" fillId="0" borderId="14" xfId="53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 applyProtection="1">
      <alignment horizontal="right" vertical="center" wrapText="1"/>
      <protection/>
    </xf>
    <xf numFmtId="0" fontId="4" fillId="0" borderId="10" xfId="53" applyFont="1" applyBorder="1" applyAlignment="1" applyProtection="1">
      <alignment horizontal="right" vertical="center" wrapText="1"/>
      <protection locked="0"/>
    </xf>
    <xf numFmtId="1" fontId="4" fillId="0" borderId="10" xfId="53" applyNumberFormat="1" applyFont="1" applyBorder="1" applyAlignment="1" applyProtection="1">
      <alignment horizontal="right" vertical="center" wrapText="1"/>
      <protection locked="0"/>
    </xf>
    <xf numFmtId="1" fontId="6" fillId="0" borderId="10" xfId="53" applyNumberFormat="1" applyFont="1" applyBorder="1" applyAlignment="1" applyProtection="1">
      <alignment horizontal="right" vertical="center" wrapText="1"/>
      <protection locked="0"/>
    </xf>
    <xf numFmtId="0" fontId="6" fillId="0" borderId="10" xfId="53" applyFont="1" applyBorder="1" applyAlignment="1" applyProtection="1">
      <alignment horizontal="right" vertical="center" wrapText="1"/>
      <protection/>
    </xf>
    <xf numFmtId="1" fontId="6" fillId="0" borderId="10" xfId="53" applyNumberFormat="1" applyFont="1" applyBorder="1" applyAlignment="1">
      <alignment horizontal="right"/>
      <protection/>
    </xf>
    <xf numFmtId="1" fontId="4" fillId="0" borderId="10" xfId="53" applyNumberFormat="1" applyFont="1" applyBorder="1" applyAlignment="1" applyProtection="1">
      <alignment horizontal="right"/>
      <protection locked="0"/>
    </xf>
    <xf numFmtId="0" fontId="4" fillId="0" borderId="10" xfId="53" applyFont="1" applyBorder="1" applyAlignment="1" applyProtection="1">
      <alignment horizontal="right"/>
      <protection locked="0"/>
    </xf>
    <xf numFmtId="1" fontId="4" fillId="0" borderId="10" xfId="53" applyNumberFormat="1" applyFont="1" applyBorder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Fill="1" applyBorder="1" applyAlignment="1">
      <alignment/>
      <protection/>
    </xf>
    <xf numFmtId="1" fontId="4" fillId="0" borderId="10" xfId="53" applyNumberFormat="1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1" fontId="6" fillId="0" borderId="10" xfId="53" applyNumberFormat="1" applyFont="1" applyBorder="1" applyAlignment="1" applyProtection="1">
      <alignment horizontal="right"/>
      <protection locked="0"/>
    </xf>
    <xf numFmtId="0" fontId="6" fillId="0" borderId="10" xfId="53" applyFont="1" applyBorder="1" applyAlignment="1" applyProtection="1">
      <alignment horizontal="right"/>
      <protection locked="0"/>
    </xf>
    <xf numFmtId="170" fontId="4" fillId="0" borderId="10" xfId="53" applyNumberFormat="1" applyFont="1" applyBorder="1">
      <alignment/>
      <protection/>
    </xf>
    <xf numFmtId="1" fontId="7" fillId="0" borderId="10" xfId="53" applyNumberFormat="1" applyFont="1" applyBorder="1" applyAlignment="1" applyProtection="1">
      <alignment horizontal="right" vertical="center" wrapText="1"/>
      <protection locked="0"/>
    </xf>
    <xf numFmtId="170" fontId="7" fillId="0" borderId="10" xfId="53" applyNumberFormat="1" applyFont="1" applyBorder="1" applyAlignment="1" applyProtection="1">
      <alignment horizontal="right" vertical="center" wrapText="1"/>
      <protection locked="0"/>
    </xf>
    <xf numFmtId="0" fontId="6" fillId="0" borderId="1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/>
      <protection/>
    </xf>
    <xf numFmtId="0" fontId="4" fillId="0" borderId="15" xfId="53" applyFont="1" applyBorder="1">
      <alignment/>
      <protection/>
    </xf>
    <xf numFmtId="1" fontId="6" fillId="0" borderId="10" xfId="53" applyNumberFormat="1" applyFont="1" applyFill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5" xfId="53" applyFont="1" applyBorder="1" applyAlignment="1" applyProtection="1">
      <alignment horizontal="center" vertical="center" wrapText="1"/>
      <protection locked="0"/>
    </xf>
    <xf numFmtId="0" fontId="6" fillId="0" borderId="16" xfId="53" applyFont="1" applyBorder="1" applyAlignment="1" applyProtection="1">
      <alignment horizontal="center" vertical="center" wrapText="1"/>
      <protection locked="0"/>
    </xf>
    <xf numFmtId="0" fontId="6" fillId="0" borderId="17" xfId="53" applyFont="1" applyBorder="1" applyAlignment="1" applyProtection="1">
      <alignment horizontal="center" vertical="center" wrapText="1"/>
      <protection locked="0"/>
    </xf>
    <xf numFmtId="0" fontId="6" fillId="0" borderId="13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7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4" fillId="0" borderId="0" xfId="53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12" fillId="0" borderId="11" xfId="53" applyFont="1" applyBorder="1" applyAlignment="1" applyProtection="1">
      <alignment horizontal="center" vertical="center" wrapText="1"/>
      <protection locked="0"/>
    </xf>
    <xf numFmtId="0" fontId="12" fillId="0" borderId="13" xfId="53" applyFont="1" applyBorder="1" applyAlignment="1" applyProtection="1">
      <alignment horizontal="center" vertical="center" wrapText="1"/>
      <protection locked="0"/>
    </xf>
    <xf numFmtId="0" fontId="20" fillId="0" borderId="11" xfId="53" applyFont="1" applyBorder="1" applyAlignment="1" applyProtection="1">
      <alignment horizontal="center" vertical="center" wrapText="1"/>
      <protection locked="0"/>
    </xf>
    <xf numFmtId="0" fontId="20" fillId="0" borderId="13" xfId="5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4;1&#1054;&#1082;&#1090;&#1103;&#1073;&#1088;&#1103;%20&#1089;%20&#1087;&#1088;&#1086;&#1075;&#1085;&#1086;&#1079;&#1086;&#1084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"/>
      <sheetName val="ЛПХ"/>
      <sheetName val="ВТПинвес "/>
      <sheetName val="кредУсл"/>
      <sheetName val="ДД"/>
      <sheetName val="Натур"/>
      <sheetName val="ОбшБМ"/>
      <sheetName val="ОбшБ"/>
      <sheetName val="ПромМ"/>
      <sheetName val="Пром"/>
      <sheetName val="СтрМ"/>
      <sheetName val="Стр"/>
      <sheetName val="Усл М"/>
      <sheetName val="Усл"/>
      <sheetName val="Аракы "/>
      <sheetName val="ТоргМ"/>
      <sheetName val="Торг"/>
      <sheetName val="ПромМ Глав"/>
      <sheetName val="ПромГлав"/>
      <sheetName val="СтрМ Глав"/>
      <sheetName val="СтрГлав"/>
      <sheetName val="Усл М Глав"/>
      <sheetName val="Усл Глав"/>
    </sheetNames>
    <sheetDataSet>
      <sheetData sheetId="0">
        <row r="265">
          <cell r="C265">
            <v>847063</v>
          </cell>
          <cell r="D265">
            <v>928742</v>
          </cell>
        </row>
        <row r="270">
          <cell r="C270">
            <v>1037058</v>
          </cell>
          <cell r="D270">
            <v>1192372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5"/>
  <sheetViews>
    <sheetView zoomScalePageLayoutView="0" workbookViewId="0" topLeftCell="A1">
      <pane xSplit="2" ySplit="8" topLeftCell="C9" activePane="bottomRight" state="frozen"/>
      <selection pane="topLeft" activeCell="H37" sqref="H37"/>
      <selection pane="topRight" activeCell="H37" sqref="H37"/>
      <selection pane="bottomLeft" activeCell="H37" sqref="H37"/>
      <selection pane="bottomRight" activeCell="P31" sqref="P31"/>
    </sheetView>
  </sheetViews>
  <sheetFormatPr defaultColWidth="9.140625" defaultRowHeight="15"/>
  <cols>
    <col min="1" max="1" width="3.00390625" style="58" customWidth="1"/>
    <col min="2" max="2" width="25.421875" style="58" customWidth="1"/>
    <col min="3" max="3" width="9.421875" style="58" customWidth="1"/>
    <col min="4" max="4" width="9.140625" style="58" customWidth="1"/>
    <col min="5" max="5" width="9.421875" style="58" customWidth="1"/>
    <col min="6" max="8" width="7.7109375" style="58" customWidth="1"/>
    <col min="9" max="10" width="5.7109375" style="58" customWidth="1"/>
    <col min="11" max="11" width="6.57421875" style="58" customWidth="1"/>
    <col min="12" max="17" width="7.7109375" style="58" customWidth="1"/>
    <col min="18" max="16384" width="9.140625" style="58" customWidth="1"/>
  </cols>
  <sheetData>
    <row r="5" spans="1:17" ht="15">
      <c r="A5" s="126" t="s">
        <v>151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7" spans="1:17" ht="40.5" customHeight="1">
      <c r="A7" s="127" t="s">
        <v>20</v>
      </c>
      <c r="B7" s="127" t="s">
        <v>84</v>
      </c>
      <c r="C7" s="129" t="s">
        <v>137</v>
      </c>
      <c r="D7" s="130"/>
      <c r="E7" s="131"/>
      <c r="F7" s="129" t="s">
        <v>89</v>
      </c>
      <c r="G7" s="130"/>
      <c r="H7" s="131"/>
      <c r="I7" s="129" t="s">
        <v>90</v>
      </c>
      <c r="J7" s="130"/>
      <c r="K7" s="131"/>
      <c r="L7" s="129" t="s">
        <v>91</v>
      </c>
      <c r="M7" s="130"/>
      <c r="N7" s="131"/>
      <c r="O7" s="129" t="s">
        <v>138</v>
      </c>
      <c r="P7" s="130"/>
      <c r="Q7" s="131"/>
    </row>
    <row r="8" spans="1:17" ht="27.75" customHeight="1">
      <c r="A8" s="128"/>
      <c r="B8" s="128"/>
      <c r="C8" s="99">
        <v>2013</v>
      </c>
      <c r="D8" s="99">
        <v>2014</v>
      </c>
      <c r="E8" s="70" t="s">
        <v>94</v>
      </c>
      <c r="F8" s="99">
        <v>2013</v>
      </c>
      <c r="G8" s="99">
        <v>2014</v>
      </c>
      <c r="H8" s="70" t="s">
        <v>94</v>
      </c>
      <c r="I8" s="99">
        <v>2013</v>
      </c>
      <c r="J8" s="99">
        <v>2014</v>
      </c>
      <c r="K8" s="70" t="s">
        <v>94</v>
      </c>
      <c r="L8" s="99">
        <v>2013</v>
      </c>
      <c r="M8" s="99">
        <v>2014</v>
      </c>
      <c r="N8" s="70" t="s">
        <v>94</v>
      </c>
      <c r="O8" s="99">
        <v>2013</v>
      </c>
      <c r="P8" s="99">
        <v>2014</v>
      </c>
      <c r="Q8" s="70" t="s">
        <v>94</v>
      </c>
    </row>
    <row r="9" spans="1:17" ht="12.75">
      <c r="A9" s="123">
        <v>1</v>
      </c>
      <c r="B9" s="103" t="s">
        <v>139</v>
      </c>
      <c r="C9" s="102">
        <v>30441</v>
      </c>
      <c r="D9" s="103">
        <v>30759</v>
      </c>
      <c r="E9" s="119">
        <f>D9/C9*100</f>
        <v>101.04464373706514</v>
      </c>
      <c r="F9" s="102">
        <v>4790</v>
      </c>
      <c r="G9" s="103">
        <v>4670</v>
      </c>
      <c r="H9" s="119">
        <f>G9/F9*100</f>
        <v>97.4947807933194</v>
      </c>
      <c r="I9" s="102">
        <v>34</v>
      </c>
      <c r="J9" s="103">
        <v>33</v>
      </c>
      <c r="K9" s="119">
        <f>J9/I9*100</f>
        <v>97.05882352941177</v>
      </c>
      <c r="L9" s="113">
        <f>F9/I9*1000/9</f>
        <v>15653.594771241831</v>
      </c>
      <c r="M9" s="113">
        <f>G9/J9*1000/9</f>
        <v>15723.905723905722</v>
      </c>
      <c r="N9" s="119">
        <f>M9/L9*100</f>
        <v>100.44916809008666</v>
      </c>
      <c r="O9" s="107">
        <f>C9/I9</f>
        <v>895.3235294117648</v>
      </c>
      <c r="P9" s="107">
        <f>D9/J9</f>
        <v>932.0909090909091</v>
      </c>
      <c r="Q9" s="119">
        <f>P9/O9*100</f>
        <v>104.10660263818832</v>
      </c>
    </row>
    <row r="10" spans="1:17" ht="12.75">
      <c r="A10" s="122">
        <v>2</v>
      </c>
      <c r="B10" s="103" t="s">
        <v>140</v>
      </c>
      <c r="C10" s="102">
        <v>50118</v>
      </c>
      <c r="D10" s="103">
        <v>48931</v>
      </c>
      <c r="E10" s="119">
        <f aca="true" t="shared" si="0" ref="E10:E21">D10/C10*100</f>
        <v>97.63158944890058</v>
      </c>
      <c r="F10" s="106">
        <v>5550</v>
      </c>
      <c r="G10" s="103">
        <v>5984</v>
      </c>
      <c r="H10" s="119">
        <f aca="true" t="shared" si="1" ref="H10:H21">G10/F10*100</f>
        <v>107.81981981981983</v>
      </c>
      <c r="I10" s="105">
        <v>40</v>
      </c>
      <c r="J10" s="103">
        <v>39</v>
      </c>
      <c r="K10" s="119">
        <f aca="true" t="shared" si="2" ref="K10:K21">J10/I10*100</f>
        <v>97.5</v>
      </c>
      <c r="L10" s="113">
        <f aca="true" t="shared" si="3" ref="L10:M21">F10/I10*1000/9</f>
        <v>15416.666666666666</v>
      </c>
      <c r="M10" s="113">
        <f t="shared" si="3"/>
        <v>17048.43304843305</v>
      </c>
      <c r="N10" s="119">
        <f aca="true" t="shared" si="4" ref="N10:N21">M10/L10*100</f>
        <v>110.58443058443059</v>
      </c>
      <c r="O10" s="107">
        <f aca="true" t="shared" si="5" ref="O10:P21">C10/I10</f>
        <v>1252.95</v>
      </c>
      <c r="P10" s="107">
        <f t="shared" si="5"/>
        <v>1254.6410256410256</v>
      </c>
      <c r="Q10" s="119">
        <f aca="true" t="shared" si="6" ref="Q10:Q21">P10/O10*100</f>
        <v>100.13496353733393</v>
      </c>
    </row>
    <row r="11" spans="1:17" ht="12.75">
      <c r="A11" s="123">
        <v>3</v>
      </c>
      <c r="B11" s="124" t="s">
        <v>141</v>
      </c>
      <c r="C11" s="102">
        <v>21393</v>
      </c>
      <c r="D11" s="103">
        <v>43795</v>
      </c>
      <c r="E11" s="119">
        <f t="shared" si="0"/>
        <v>204.71649605010987</v>
      </c>
      <c r="F11" s="106">
        <v>1601</v>
      </c>
      <c r="G11" s="103">
        <v>2541</v>
      </c>
      <c r="H11" s="119">
        <f t="shared" si="1"/>
        <v>158.71330418488446</v>
      </c>
      <c r="I11" s="105">
        <v>12</v>
      </c>
      <c r="J11" s="103">
        <v>18</v>
      </c>
      <c r="K11" s="119">
        <f t="shared" si="2"/>
        <v>150</v>
      </c>
      <c r="L11" s="113">
        <f t="shared" si="3"/>
        <v>14824.074074074073</v>
      </c>
      <c r="M11" s="113">
        <f t="shared" si="3"/>
        <v>15685.185185185184</v>
      </c>
      <c r="N11" s="119">
        <f t="shared" si="4"/>
        <v>105.80886945658963</v>
      </c>
      <c r="O11" s="107">
        <f t="shared" si="5"/>
        <v>1782.75</v>
      </c>
      <c r="P11" s="107">
        <f t="shared" si="5"/>
        <v>2433.0555555555557</v>
      </c>
      <c r="Q11" s="119">
        <f t="shared" si="6"/>
        <v>136.47766403340657</v>
      </c>
    </row>
    <row r="12" spans="1:17" ht="12.75">
      <c r="A12" s="122">
        <v>4</v>
      </c>
      <c r="B12" s="124" t="s">
        <v>142</v>
      </c>
      <c r="C12" s="102">
        <v>4309</v>
      </c>
      <c r="D12" s="103">
        <v>2889</v>
      </c>
      <c r="E12" s="119">
        <f t="shared" si="0"/>
        <v>67.0457182640984</v>
      </c>
      <c r="F12" s="106">
        <v>1558</v>
      </c>
      <c r="G12" s="103">
        <v>1093</v>
      </c>
      <c r="H12" s="119">
        <f t="shared" si="1"/>
        <v>70.15404364569962</v>
      </c>
      <c r="I12" s="105">
        <v>12</v>
      </c>
      <c r="J12" s="103">
        <v>8</v>
      </c>
      <c r="K12" s="119">
        <f t="shared" si="2"/>
        <v>66.66666666666666</v>
      </c>
      <c r="L12" s="113">
        <f t="shared" si="3"/>
        <v>14425.925925925927</v>
      </c>
      <c r="M12" s="113">
        <f t="shared" si="3"/>
        <v>15180.555555555555</v>
      </c>
      <c r="N12" s="119">
        <f t="shared" si="4"/>
        <v>105.23106546854942</v>
      </c>
      <c r="O12" s="107">
        <f t="shared" si="5"/>
        <v>359.0833333333333</v>
      </c>
      <c r="P12" s="107">
        <f t="shared" si="5"/>
        <v>361.125</v>
      </c>
      <c r="Q12" s="119">
        <f t="shared" si="6"/>
        <v>100.56857739614759</v>
      </c>
    </row>
    <row r="13" spans="1:17" ht="12.75">
      <c r="A13" s="122">
        <v>5</v>
      </c>
      <c r="B13" s="124" t="s">
        <v>143</v>
      </c>
      <c r="C13" s="113">
        <v>212297</v>
      </c>
      <c r="D13" s="103">
        <v>330245</v>
      </c>
      <c r="E13" s="119">
        <f t="shared" si="0"/>
        <v>155.55801542179117</v>
      </c>
      <c r="F13" s="106">
        <v>28486</v>
      </c>
      <c r="G13" s="103">
        <v>29776</v>
      </c>
      <c r="H13" s="119">
        <f t="shared" si="1"/>
        <v>104.52854033560345</v>
      </c>
      <c r="I13" s="105">
        <v>162</v>
      </c>
      <c r="J13" s="103">
        <v>158</v>
      </c>
      <c r="K13" s="119">
        <f t="shared" si="2"/>
        <v>97.53086419753086</v>
      </c>
      <c r="L13" s="113">
        <f t="shared" si="3"/>
        <v>19537.722908093278</v>
      </c>
      <c r="M13" s="113">
        <f t="shared" si="3"/>
        <v>20939.52180028129</v>
      </c>
      <c r="N13" s="119">
        <f t="shared" si="4"/>
        <v>107.17483249599846</v>
      </c>
      <c r="O13" s="107">
        <f t="shared" si="5"/>
        <v>1310.4753086419753</v>
      </c>
      <c r="P13" s="107">
        <f t="shared" si="5"/>
        <v>2090.1582278481014</v>
      </c>
      <c r="Q13" s="119">
        <f t="shared" si="6"/>
        <v>159.49619302740615</v>
      </c>
    </row>
    <row r="14" spans="1:17" ht="12.75">
      <c r="A14" s="122">
        <v>6</v>
      </c>
      <c r="B14" s="124" t="s">
        <v>144</v>
      </c>
      <c r="C14" s="102">
        <v>25937</v>
      </c>
      <c r="D14" s="103">
        <v>21667</v>
      </c>
      <c r="E14" s="119">
        <f t="shared" si="0"/>
        <v>83.53703203917185</v>
      </c>
      <c r="F14" s="106">
        <v>3769</v>
      </c>
      <c r="G14" s="103">
        <v>3969</v>
      </c>
      <c r="H14" s="119">
        <f t="shared" si="1"/>
        <v>105.30644733351022</v>
      </c>
      <c r="I14" s="105">
        <v>28</v>
      </c>
      <c r="J14" s="103">
        <v>25</v>
      </c>
      <c r="K14" s="119">
        <f t="shared" si="2"/>
        <v>89.28571428571429</v>
      </c>
      <c r="L14" s="113">
        <f t="shared" si="3"/>
        <v>14956.349206349209</v>
      </c>
      <c r="M14" s="113">
        <f t="shared" si="3"/>
        <v>17640</v>
      </c>
      <c r="N14" s="119">
        <f t="shared" si="4"/>
        <v>117.94322101353143</v>
      </c>
      <c r="O14" s="106">
        <f t="shared" si="5"/>
        <v>926.3214285714286</v>
      </c>
      <c r="P14" s="107">
        <f t="shared" si="5"/>
        <v>866.68</v>
      </c>
      <c r="Q14" s="119">
        <f t="shared" si="6"/>
        <v>93.56147588387246</v>
      </c>
    </row>
    <row r="15" spans="1:17" ht="12.75">
      <c r="A15" s="122">
        <v>7</v>
      </c>
      <c r="B15" s="124" t="s">
        <v>145</v>
      </c>
      <c r="C15" s="102">
        <v>16529</v>
      </c>
      <c r="D15" s="103">
        <v>32363</v>
      </c>
      <c r="E15" s="119">
        <f t="shared" si="0"/>
        <v>195.79526892128985</v>
      </c>
      <c r="F15" s="110">
        <v>4353</v>
      </c>
      <c r="G15" s="103">
        <v>4947</v>
      </c>
      <c r="H15" s="119">
        <f t="shared" si="1"/>
        <v>113.64576154376292</v>
      </c>
      <c r="I15" s="111">
        <v>24</v>
      </c>
      <c r="J15" s="103">
        <v>24</v>
      </c>
      <c r="K15" s="119">
        <f t="shared" si="2"/>
        <v>100</v>
      </c>
      <c r="L15" s="113">
        <f t="shared" si="3"/>
        <v>20152.777777777777</v>
      </c>
      <c r="M15" s="113">
        <f t="shared" si="3"/>
        <v>22902.777777777777</v>
      </c>
      <c r="N15" s="119">
        <f t="shared" si="4"/>
        <v>113.64576154376292</v>
      </c>
      <c r="O15" s="107">
        <f t="shared" si="5"/>
        <v>688.7083333333334</v>
      </c>
      <c r="P15" s="107">
        <f t="shared" si="5"/>
        <v>1348.4583333333333</v>
      </c>
      <c r="Q15" s="119">
        <f t="shared" si="6"/>
        <v>195.79526892128982</v>
      </c>
    </row>
    <row r="16" spans="1:17" ht="12.75">
      <c r="A16" s="122">
        <f>A15+1</f>
        <v>8</v>
      </c>
      <c r="B16" s="124" t="s">
        <v>146</v>
      </c>
      <c r="C16" s="102">
        <v>4936</v>
      </c>
      <c r="D16" s="103">
        <v>7405</v>
      </c>
      <c r="E16" s="119">
        <f t="shared" si="0"/>
        <v>150.02025931928685</v>
      </c>
      <c r="F16" s="110">
        <v>1820</v>
      </c>
      <c r="G16" s="103">
        <v>1976</v>
      </c>
      <c r="H16" s="119">
        <f t="shared" si="1"/>
        <v>108.57142857142857</v>
      </c>
      <c r="I16" s="111">
        <v>13</v>
      </c>
      <c r="J16" s="103">
        <v>13</v>
      </c>
      <c r="K16" s="119">
        <f t="shared" si="2"/>
        <v>100</v>
      </c>
      <c r="L16" s="113">
        <f t="shared" si="3"/>
        <v>15555.555555555555</v>
      </c>
      <c r="M16" s="113">
        <f t="shared" si="3"/>
        <v>16888.88888888889</v>
      </c>
      <c r="N16" s="119">
        <f t="shared" si="4"/>
        <v>108.57142857142858</v>
      </c>
      <c r="O16" s="107">
        <f t="shared" si="5"/>
        <v>379.6923076923077</v>
      </c>
      <c r="P16" s="107">
        <f t="shared" si="5"/>
        <v>569.6153846153846</v>
      </c>
      <c r="Q16" s="119">
        <f t="shared" si="6"/>
        <v>150.02025931928688</v>
      </c>
    </row>
    <row r="17" spans="1:17" ht="12.75" customHeight="1">
      <c r="A17" s="122">
        <v>9</v>
      </c>
      <c r="B17" s="124" t="s">
        <v>147</v>
      </c>
      <c r="C17" s="102">
        <v>7854</v>
      </c>
      <c r="D17" s="103">
        <v>9719</v>
      </c>
      <c r="E17" s="119">
        <f t="shared" si="0"/>
        <v>123.7458619811561</v>
      </c>
      <c r="F17" s="110">
        <v>1454</v>
      </c>
      <c r="G17" s="103">
        <v>1733</v>
      </c>
      <c r="H17" s="119">
        <f t="shared" si="1"/>
        <v>119.18844566712517</v>
      </c>
      <c r="I17" s="111">
        <v>15</v>
      </c>
      <c r="J17" s="103">
        <v>11</v>
      </c>
      <c r="K17" s="119">
        <f t="shared" si="2"/>
        <v>73.33333333333333</v>
      </c>
      <c r="L17" s="113">
        <f t="shared" si="3"/>
        <v>10770.370370370372</v>
      </c>
      <c r="M17" s="113">
        <f t="shared" si="3"/>
        <v>17505.0505050505</v>
      </c>
      <c r="N17" s="119">
        <f t="shared" si="4"/>
        <v>162.5296986369888</v>
      </c>
      <c r="O17" s="107">
        <f t="shared" si="5"/>
        <v>523.6</v>
      </c>
      <c r="P17" s="107">
        <f t="shared" si="5"/>
        <v>883.5454545454545</v>
      </c>
      <c r="Q17" s="119">
        <f t="shared" si="6"/>
        <v>168.74435724703102</v>
      </c>
    </row>
    <row r="18" spans="1:17" ht="12.75" customHeight="1">
      <c r="A18" s="122">
        <f>A17+1</f>
        <v>10</v>
      </c>
      <c r="B18" s="124" t="s">
        <v>148</v>
      </c>
      <c r="C18" s="102">
        <v>6268</v>
      </c>
      <c r="D18" s="103">
        <v>3723</v>
      </c>
      <c r="E18" s="119">
        <f t="shared" si="0"/>
        <v>59.39693682195277</v>
      </c>
      <c r="F18" s="110">
        <v>739</v>
      </c>
      <c r="G18" s="112">
        <v>938</v>
      </c>
      <c r="H18" s="119">
        <f t="shared" si="1"/>
        <v>126.92828146143438</v>
      </c>
      <c r="I18" s="111">
        <v>10</v>
      </c>
      <c r="J18" s="103">
        <v>13</v>
      </c>
      <c r="K18" s="119">
        <f t="shared" si="2"/>
        <v>130</v>
      </c>
      <c r="L18" s="113">
        <f t="shared" si="3"/>
        <v>8211.111111111111</v>
      </c>
      <c r="M18" s="113">
        <f t="shared" si="3"/>
        <v>8017.0940170940175</v>
      </c>
      <c r="N18" s="119">
        <f t="shared" si="4"/>
        <v>97.63713958571874</v>
      </c>
      <c r="O18" s="107">
        <f t="shared" si="5"/>
        <v>626.8</v>
      </c>
      <c r="P18" s="107">
        <f t="shared" si="5"/>
        <v>286.38461538461536</v>
      </c>
      <c r="Q18" s="119">
        <f t="shared" si="6"/>
        <v>45.689951401502135</v>
      </c>
    </row>
    <row r="19" spans="1:17" ht="12.75" customHeight="1">
      <c r="A19" s="122">
        <v>11</v>
      </c>
      <c r="B19" s="124" t="s">
        <v>104</v>
      </c>
      <c r="C19" s="102">
        <v>12600</v>
      </c>
      <c r="D19" s="103">
        <v>25934</v>
      </c>
      <c r="E19" s="119">
        <f t="shared" si="0"/>
        <v>205.8253968253968</v>
      </c>
      <c r="F19" s="110">
        <v>2261</v>
      </c>
      <c r="G19" s="103">
        <v>1865</v>
      </c>
      <c r="H19" s="119">
        <f t="shared" si="1"/>
        <v>82.48562582927909</v>
      </c>
      <c r="I19" s="111">
        <v>27</v>
      </c>
      <c r="J19" s="103">
        <v>15</v>
      </c>
      <c r="K19" s="119">
        <f t="shared" si="2"/>
        <v>55.55555555555556</v>
      </c>
      <c r="L19" s="113">
        <f t="shared" si="3"/>
        <v>9304.526748971193</v>
      </c>
      <c r="M19" s="113">
        <f t="shared" si="3"/>
        <v>13814.814814814814</v>
      </c>
      <c r="N19" s="119">
        <f t="shared" si="4"/>
        <v>148.47412649270234</v>
      </c>
      <c r="O19" s="107">
        <f t="shared" si="5"/>
        <v>466.6666666666667</v>
      </c>
      <c r="P19" s="107">
        <f t="shared" si="5"/>
        <v>1728.9333333333334</v>
      </c>
      <c r="Q19" s="119">
        <f t="shared" si="6"/>
        <v>370.48571428571427</v>
      </c>
    </row>
    <row r="20" spans="1:17" ht="12.75" customHeight="1">
      <c r="A20" s="122">
        <v>12</v>
      </c>
      <c r="B20" s="124" t="s">
        <v>149</v>
      </c>
      <c r="C20" s="102">
        <v>8320</v>
      </c>
      <c r="D20" s="103">
        <v>7598</v>
      </c>
      <c r="E20" s="119">
        <f t="shared" si="0"/>
        <v>91.32211538461539</v>
      </c>
      <c r="F20" s="110">
        <v>1435</v>
      </c>
      <c r="G20" s="103">
        <v>1435</v>
      </c>
      <c r="H20" s="119">
        <f t="shared" si="1"/>
        <v>100</v>
      </c>
      <c r="I20" s="111">
        <v>10</v>
      </c>
      <c r="J20" s="103">
        <v>10</v>
      </c>
      <c r="K20" s="119">
        <f t="shared" si="2"/>
        <v>100</v>
      </c>
      <c r="L20" s="113">
        <f t="shared" si="3"/>
        <v>15944.444444444445</v>
      </c>
      <c r="M20" s="113">
        <f t="shared" si="3"/>
        <v>15944.444444444445</v>
      </c>
      <c r="N20" s="119">
        <f t="shared" si="4"/>
        <v>100</v>
      </c>
      <c r="O20" s="107">
        <f t="shared" si="5"/>
        <v>832</v>
      </c>
      <c r="P20" s="107">
        <f t="shared" si="5"/>
        <v>759.8</v>
      </c>
      <c r="Q20" s="119">
        <f t="shared" si="6"/>
        <v>91.32211538461537</v>
      </c>
    </row>
    <row r="21" spans="1:17" ht="12.75">
      <c r="A21" s="122"/>
      <c r="B21" s="116" t="s">
        <v>26</v>
      </c>
      <c r="C21" s="114">
        <f>SUM(C9:C20)</f>
        <v>401002</v>
      </c>
      <c r="D21" s="114">
        <f>SUM(D9:D20)</f>
        <v>565028</v>
      </c>
      <c r="E21" s="119">
        <f t="shared" si="0"/>
        <v>140.90403539134468</v>
      </c>
      <c r="F21" s="125">
        <f>SUM(F9:F20)</f>
        <v>57816</v>
      </c>
      <c r="G21" s="114">
        <f>SUM(G9:G20)</f>
        <v>60927</v>
      </c>
      <c r="H21" s="119">
        <f t="shared" si="1"/>
        <v>105.38086342880864</v>
      </c>
      <c r="I21" s="116">
        <f>SUM(I9:I20)</f>
        <v>387</v>
      </c>
      <c r="J21" s="114">
        <f>SUM(J9:J20)</f>
        <v>367</v>
      </c>
      <c r="K21" s="119">
        <f t="shared" si="2"/>
        <v>94.83204134366925</v>
      </c>
      <c r="L21" s="113">
        <f t="shared" si="3"/>
        <v>16599.483204134365</v>
      </c>
      <c r="M21" s="113">
        <f t="shared" si="3"/>
        <v>18445.95821980018</v>
      </c>
      <c r="N21" s="119">
        <f t="shared" si="4"/>
        <v>111.12368977370284</v>
      </c>
      <c r="O21" s="107">
        <f t="shared" si="5"/>
        <v>1036.1808785529715</v>
      </c>
      <c r="P21" s="107">
        <f t="shared" si="5"/>
        <v>1539.5858310626702</v>
      </c>
      <c r="Q21" s="119">
        <f t="shared" si="6"/>
        <v>148.58272941812095</v>
      </c>
    </row>
    <row r="25" ht="12.75">
      <c r="G25" s="58" t="s">
        <v>150</v>
      </c>
    </row>
  </sheetData>
  <sheetProtection/>
  <mergeCells count="8">
    <mergeCell ref="A5:Q5"/>
    <mergeCell ref="A7:A8"/>
    <mergeCell ref="B7:B8"/>
    <mergeCell ref="C7:E7"/>
    <mergeCell ref="F7:H7"/>
    <mergeCell ref="I7:K7"/>
    <mergeCell ref="L7:N7"/>
    <mergeCell ref="O7:Q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28"/>
  <sheetViews>
    <sheetView zoomScalePageLayoutView="0" workbookViewId="0" topLeftCell="A4">
      <pane xSplit="2" ySplit="5" topLeftCell="C9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140625" defaultRowHeight="15"/>
  <cols>
    <col min="1" max="1" width="3.00390625" style="65" customWidth="1"/>
    <col min="2" max="2" width="24.8515625" style="65" customWidth="1"/>
    <col min="3" max="3" width="9.421875" style="65" customWidth="1"/>
    <col min="4" max="5" width="9.140625" style="65" customWidth="1"/>
    <col min="6" max="6" width="9.421875" style="65" hidden="1" customWidth="1"/>
    <col min="7" max="9" width="7.7109375" style="65" customWidth="1"/>
    <col min="10" max="10" width="6.00390625" style="65" customWidth="1"/>
    <col min="11" max="11" width="6.28125" style="65" customWidth="1"/>
    <col min="12" max="12" width="6.57421875" style="65" customWidth="1"/>
    <col min="13" max="15" width="7.7109375" style="65" customWidth="1"/>
    <col min="16" max="16" width="8.28125" style="65" customWidth="1"/>
    <col min="17" max="18" width="7.7109375" style="65" customWidth="1"/>
    <col min="19" max="19" width="7.140625" style="65" hidden="1" customWidth="1"/>
    <col min="20" max="21" width="6.8515625" style="65" hidden="1" customWidth="1"/>
    <col min="22" max="22" width="8.57421875" style="65" hidden="1" customWidth="1"/>
    <col min="23" max="16384" width="9.140625" style="65" customWidth="1"/>
  </cols>
  <sheetData>
    <row r="5" spans="1:22" ht="15">
      <c r="A5" s="126" t="s">
        <v>135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7" spans="1:22" ht="40.5" customHeight="1">
      <c r="A7" s="127" t="s">
        <v>20</v>
      </c>
      <c r="B7" s="127" t="s">
        <v>84</v>
      </c>
      <c r="C7" s="129" t="s">
        <v>122</v>
      </c>
      <c r="D7" s="130"/>
      <c r="E7" s="130"/>
      <c r="F7" s="131"/>
      <c r="G7" s="129" t="s">
        <v>89</v>
      </c>
      <c r="H7" s="130"/>
      <c r="I7" s="131"/>
      <c r="J7" s="129" t="s">
        <v>90</v>
      </c>
      <c r="K7" s="130"/>
      <c r="L7" s="131"/>
      <c r="M7" s="129" t="s">
        <v>91</v>
      </c>
      <c r="N7" s="130"/>
      <c r="O7" s="131"/>
      <c r="P7" s="129" t="s">
        <v>123</v>
      </c>
      <c r="Q7" s="130"/>
      <c r="R7" s="131"/>
      <c r="S7" s="133" t="s">
        <v>92</v>
      </c>
      <c r="T7" s="134"/>
      <c r="U7" s="133" t="s">
        <v>93</v>
      </c>
      <c r="V7" s="134"/>
    </row>
    <row r="8" spans="1:22" ht="36.75" customHeight="1">
      <c r="A8" s="132"/>
      <c r="B8" s="132"/>
      <c r="C8" s="71">
        <v>2013</v>
      </c>
      <c r="D8" s="71">
        <v>2014</v>
      </c>
      <c r="E8" s="70" t="s">
        <v>94</v>
      </c>
      <c r="F8" s="100" t="s">
        <v>95</v>
      </c>
      <c r="G8" s="99">
        <v>2013</v>
      </c>
      <c r="H8" s="99">
        <v>2014</v>
      </c>
      <c r="I8" s="70" t="s">
        <v>94</v>
      </c>
      <c r="J8" s="99">
        <v>2013</v>
      </c>
      <c r="K8" s="99">
        <v>2014</v>
      </c>
      <c r="L8" s="70" t="s">
        <v>94</v>
      </c>
      <c r="M8" s="99">
        <v>2013</v>
      </c>
      <c r="N8" s="99">
        <v>2014</v>
      </c>
      <c r="O8" s="70" t="s">
        <v>94</v>
      </c>
      <c r="P8" s="99">
        <v>2013</v>
      </c>
      <c r="Q8" s="99">
        <v>2014</v>
      </c>
      <c r="R8" s="70" t="s">
        <v>94</v>
      </c>
      <c r="S8" s="98" t="s">
        <v>98</v>
      </c>
      <c r="T8" s="100" t="s">
        <v>95</v>
      </c>
      <c r="U8" s="98" t="s">
        <v>98</v>
      </c>
      <c r="V8" s="100" t="s">
        <v>95</v>
      </c>
    </row>
    <row r="9" spans="1:22" ht="12.75">
      <c r="A9" s="101">
        <v>1</v>
      </c>
      <c r="B9" s="102" t="s">
        <v>124</v>
      </c>
      <c r="C9" s="102">
        <v>31125</v>
      </c>
      <c r="D9" s="103">
        <v>31759</v>
      </c>
      <c r="E9" s="119">
        <f>D9/C9*100</f>
        <v>102.03694779116465</v>
      </c>
      <c r="F9" s="104">
        <f>D9-C9</f>
        <v>634</v>
      </c>
      <c r="G9" s="105">
        <v>10098</v>
      </c>
      <c r="H9" s="103">
        <v>10662</v>
      </c>
      <c r="I9" s="119">
        <f>H9/G9*100</f>
        <v>105.5852644087938</v>
      </c>
      <c r="J9" s="105">
        <v>96</v>
      </c>
      <c r="K9" s="103">
        <v>104</v>
      </c>
      <c r="L9" s="119">
        <f>K9/J9*100</f>
        <v>108.33333333333333</v>
      </c>
      <c r="M9" s="106">
        <f>G9/J9*1000/9</f>
        <v>11687.5</v>
      </c>
      <c r="N9" s="106">
        <f>H9/K9*1000/9</f>
        <v>11391.025641025642</v>
      </c>
      <c r="O9" s="119">
        <f>N9/M9*100</f>
        <v>97.46332099273278</v>
      </c>
      <c r="P9" s="107">
        <f aca="true" t="shared" si="0" ref="P9:P20">C9/J9</f>
        <v>324.21875</v>
      </c>
      <c r="Q9" s="107">
        <f aca="true" t="shared" si="1" ref="Q9:Q20">D9/K9</f>
        <v>305.375</v>
      </c>
      <c r="R9" s="119">
        <f>Q9/P9*100</f>
        <v>94.18795180722893</v>
      </c>
      <c r="S9" s="109">
        <f>N9/5143.85*100</f>
        <v>221.44941320267196</v>
      </c>
      <c r="T9" s="109">
        <f>N9-5143.85</f>
        <v>6247.175641025642</v>
      </c>
      <c r="U9" s="109">
        <f>N9/11026.44*100</f>
        <v>103.30646737320153</v>
      </c>
      <c r="V9" s="109">
        <f>N9-11026.44</f>
        <v>364.58564102564196</v>
      </c>
    </row>
    <row r="10" spans="1:22" ht="12.75">
      <c r="A10" s="101">
        <v>2</v>
      </c>
      <c r="B10" s="102" t="s">
        <v>125</v>
      </c>
      <c r="C10" s="102">
        <v>3147</v>
      </c>
      <c r="D10" s="103">
        <v>3370</v>
      </c>
      <c r="E10" s="119">
        <f aca="true" t="shared" si="2" ref="E10:E20">D10/C10*100</f>
        <v>107.08611375913569</v>
      </c>
      <c r="F10" s="104">
        <f>D10-C10</f>
        <v>223</v>
      </c>
      <c r="G10" s="105">
        <v>1146</v>
      </c>
      <c r="H10" s="103">
        <v>1467</v>
      </c>
      <c r="I10" s="119">
        <f aca="true" t="shared" si="3" ref="I10:I20">H10/G10*100</f>
        <v>128.0104712041885</v>
      </c>
      <c r="J10" s="105">
        <v>11</v>
      </c>
      <c r="K10" s="103">
        <v>14</v>
      </c>
      <c r="L10" s="119">
        <f aca="true" t="shared" si="4" ref="L10:L20">K10/J10*100</f>
        <v>127.27272727272727</v>
      </c>
      <c r="M10" s="106">
        <f aca="true" t="shared" si="5" ref="M10:N19">G10/J10*1000/9</f>
        <v>11575.757575757576</v>
      </c>
      <c r="N10" s="106">
        <f t="shared" si="5"/>
        <v>11642.857142857143</v>
      </c>
      <c r="O10" s="119">
        <f aca="true" t="shared" si="6" ref="O10:O20">N10/M10*100</f>
        <v>100.57965594614808</v>
      </c>
      <c r="P10" s="107">
        <f t="shared" si="0"/>
        <v>286.09090909090907</v>
      </c>
      <c r="Q10" s="107">
        <f t="shared" si="1"/>
        <v>240.71428571428572</v>
      </c>
      <c r="R10" s="119">
        <f aca="true" t="shared" si="7" ref="R10:R20">Q10/P10*100</f>
        <v>84.13908938217804</v>
      </c>
      <c r="S10" s="109">
        <f aca="true" t="shared" si="8" ref="S10:S20">N10/5143.85*100</f>
        <v>226.3451916921594</v>
      </c>
      <c r="T10" s="109">
        <f aca="true" t="shared" si="9" ref="T10:T20">N10-5143.85</f>
        <v>6499.007142857143</v>
      </c>
      <c r="U10" s="109">
        <f aca="true" t="shared" si="10" ref="U10:U20">N10/11026.44*100</f>
        <v>105.59035502716327</v>
      </c>
      <c r="V10" s="109">
        <f aca="true" t="shared" si="11" ref="V10:V20">N10-11026.44</f>
        <v>616.4171428571426</v>
      </c>
    </row>
    <row r="11" spans="1:22" ht="12.75">
      <c r="A11" s="101">
        <v>3</v>
      </c>
      <c r="B11" s="102" t="s">
        <v>126</v>
      </c>
      <c r="C11" s="102">
        <v>3010</v>
      </c>
      <c r="D11" s="103">
        <v>2362</v>
      </c>
      <c r="E11" s="119">
        <f t="shared" si="2"/>
        <v>78.4717607973422</v>
      </c>
      <c r="F11" s="104">
        <f>D11-C11</f>
        <v>-648</v>
      </c>
      <c r="G11" s="105">
        <v>2297</v>
      </c>
      <c r="H11" s="103">
        <v>2330</v>
      </c>
      <c r="I11" s="119">
        <f t="shared" si="3"/>
        <v>101.43665650848934</v>
      </c>
      <c r="J11" s="105">
        <v>28</v>
      </c>
      <c r="K11" s="103">
        <v>29</v>
      </c>
      <c r="L11" s="119">
        <f t="shared" si="4"/>
        <v>103.57142857142858</v>
      </c>
      <c r="M11" s="106">
        <f t="shared" si="5"/>
        <v>9115.079365079366</v>
      </c>
      <c r="N11" s="106">
        <f t="shared" si="5"/>
        <v>8927.203065134097</v>
      </c>
      <c r="O11" s="119">
        <f t="shared" si="6"/>
        <v>97.93884076681726</v>
      </c>
      <c r="P11" s="107">
        <f t="shared" si="0"/>
        <v>107.5</v>
      </c>
      <c r="Q11" s="107">
        <f t="shared" si="1"/>
        <v>81.44827586206897</v>
      </c>
      <c r="R11" s="119">
        <f t="shared" si="7"/>
        <v>75.76583801122695</v>
      </c>
      <c r="S11" s="109">
        <f t="shared" si="8"/>
        <v>173.5509990597334</v>
      </c>
      <c r="T11" s="109">
        <f t="shared" si="9"/>
        <v>3783.353065134097</v>
      </c>
      <c r="U11" s="109">
        <f t="shared" si="10"/>
        <v>80.96178880159052</v>
      </c>
      <c r="V11" s="109">
        <f t="shared" si="11"/>
        <v>-2099.236934865903</v>
      </c>
    </row>
    <row r="12" spans="1:22" ht="12.75">
      <c r="A12" s="101">
        <v>4</v>
      </c>
      <c r="B12" s="102" t="s">
        <v>127</v>
      </c>
      <c r="C12" s="102">
        <v>11240</v>
      </c>
      <c r="D12" s="103">
        <v>11090</v>
      </c>
      <c r="E12" s="119">
        <f t="shared" si="2"/>
        <v>98.66548042704626</v>
      </c>
      <c r="F12" s="104">
        <f aca="true" t="shared" si="12" ref="F12:F20">D12-C12</f>
        <v>-150</v>
      </c>
      <c r="G12" s="110">
        <v>3168</v>
      </c>
      <c r="H12" s="103">
        <v>3494</v>
      </c>
      <c r="I12" s="119">
        <f t="shared" si="3"/>
        <v>110.29040404040404</v>
      </c>
      <c r="J12" s="111">
        <v>40</v>
      </c>
      <c r="K12" s="103">
        <v>37</v>
      </c>
      <c r="L12" s="119">
        <f t="shared" si="4"/>
        <v>92.5</v>
      </c>
      <c r="M12" s="106">
        <f t="shared" si="5"/>
        <v>8800</v>
      </c>
      <c r="N12" s="106">
        <f t="shared" si="5"/>
        <v>10492.492492492493</v>
      </c>
      <c r="O12" s="119">
        <f t="shared" si="6"/>
        <v>119.23286923286925</v>
      </c>
      <c r="P12" s="107">
        <f t="shared" si="0"/>
        <v>281</v>
      </c>
      <c r="Q12" s="107">
        <f t="shared" si="1"/>
        <v>299.72972972972974</v>
      </c>
      <c r="R12" s="119">
        <f t="shared" si="7"/>
        <v>106.66538424545541</v>
      </c>
      <c r="S12" s="109">
        <f t="shared" si="8"/>
        <v>203.98130762935332</v>
      </c>
      <c r="T12" s="109">
        <f t="shared" si="9"/>
        <v>5348.642492492492</v>
      </c>
      <c r="U12" s="109">
        <f t="shared" si="10"/>
        <v>95.15757118791281</v>
      </c>
      <c r="V12" s="109">
        <f t="shared" si="11"/>
        <v>-533.9475075075079</v>
      </c>
    </row>
    <row r="13" spans="1:22" ht="12.75">
      <c r="A13" s="101">
        <f aca="true" t="shared" si="13" ref="A13:A19">A12+1</f>
        <v>5</v>
      </c>
      <c r="B13" s="102" t="s">
        <v>128</v>
      </c>
      <c r="C13" s="102">
        <v>51105</v>
      </c>
      <c r="D13" s="103">
        <v>53532</v>
      </c>
      <c r="E13" s="119">
        <f t="shared" si="2"/>
        <v>104.74904608159672</v>
      </c>
      <c r="F13" s="104">
        <f t="shared" si="12"/>
        <v>2427</v>
      </c>
      <c r="G13" s="110">
        <v>7020</v>
      </c>
      <c r="H13" s="112">
        <v>7063</v>
      </c>
      <c r="I13" s="119">
        <f t="shared" si="3"/>
        <v>100.61253561253561</v>
      </c>
      <c r="J13" s="111">
        <v>46</v>
      </c>
      <c r="K13" s="103">
        <v>44</v>
      </c>
      <c r="L13" s="119">
        <f t="shared" si="4"/>
        <v>95.65217391304348</v>
      </c>
      <c r="M13" s="106">
        <f t="shared" si="5"/>
        <v>16956.521739130436</v>
      </c>
      <c r="N13" s="106">
        <f t="shared" si="5"/>
        <v>17835.858585858587</v>
      </c>
      <c r="O13" s="119">
        <f t="shared" si="6"/>
        <v>105.18583268583268</v>
      </c>
      <c r="P13" s="107">
        <f t="shared" si="0"/>
        <v>1110.9782608695652</v>
      </c>
      <c r="Q13" s="107">
        <f t="shared" si="1"/>
        <v>1216.6363636363637</v>
      </c>
      <c r="R13" s="119">
        <f t="shared" si="7"/>
        <v>109.51036635803293</v>
      </c>
      <c r="S13" s="109">
        <f t="shared" si="8"/>
        <v>346.74142103402284</v>
      </c>
      <c r="T13" s="109">
        <f t="shared" si="9"/>
        <v>12692.008585858586</v>
      </c>
      <c r="U13" s="109">
        <f t="shared" si="10"/>
        <v>161.75536787810557</v>
      </c>
      <c r="V13" s="109">
        <f t="shared" si="11"/>
        <v>6809.418585858586</v>
      </c>
    </row>
    <row r="14" spans="1:22" ht="12.75">
      <c r="A14" s="101">
        <f t="shared" si="13"/>
        <v>6</v>
      </c>
      <c r="B14" s="102" t="s">
        <v>129</v>
      </c>
      <c r="C14" s="102">
        <v>25629</v>
      </c>
      <c r="D14" s="103">
        <v>27398</v>
      </c>
      <c r="E14" s="119">
        <f t="shared" si="2"/>
        <v>106.902337196145</v>
      </c>
      <c r="F14" s="104">
        <f t="shared" si="12"/>
        <v>1769</v>
      </c>
      <c r="G14" s="110">
        <v>10746</v>
      </c>
      <c r="H14" s="112">
        <v>11085</v>
      </c>
      <c r="I14" s="119">
        <f t="shared" si="3"/>
        <v>103.15466219988834</v>
      </c>
      <c r="J14" s="111">
        <v>100</v>
      </c>
      <c r="K14" s="103">
        <v>100</v>
      </c>
      <c r="L14" s="119">
        <f t="shared" si="4"/>
        <v>100</v>
      </c>
      <c r="M14" s="106">
        <f t="shared" si="5"/>
        <v>11940</v>
      </c>
      <c r="N14" s="106">
        <f t="shared" si="5"/>
        <v>12316.666666666666</v>
      </c>
      <c r="O14" s="119">
        <f t="shared" si="6"/>
        <v>103.15466219988834</v>
      </c>
      <c r="P14" s="107">
        <f t="shared" si="0"/>
        <v>256.29</v>
      </c>
      <c r="Q14" s="107">
        <f t="shared" si="1"/>
        <v>273.98</v>
      </c>
      <c r="R14" s="119">
        <f t="shared" si="7"/>
        <v>106.902337196145</v>
      </c>
      <c r="S14" s="109">
        <f t="shared" si="8"/>
        <v>239.44451464694083</v>
      </c>
      <c r="T14" s="109">
        <f t="shared" si="9"/>
        <v>7172.816666666666</v>
      </c>
      <c r="U14" s="109">
        <f t="shared" si="10"/>
        <v>111.70120788456353</v>
      </c>
      <c r="V14" s="109">
        <f t="shared" si="11"/>
        <v>1290.2266666666656</v>
      </c>
    </row>
    <row r="15" spans="1:22" ht="12.75" customHeight="1">
      <c r="A15" s="101">
        <v>7</v>
      </c>
      <c r="B15" s="102" t="s">
        <v>130</v>
      </c>
      <c r="C15" s="102">
        <v>1302</v>
      </c>
      <c r="D15" s="103">
        <v>706</v>
      </c>
      <c r="E15" s="119">
        <f t="shared" si="2"/>
        <v>54.22427035330261</v>
      </c>
      <c r="F15" s="104">
        <f t="shared" si="12"/>
        <v>-596</v>
      </c>
      <c r="G15" s="110">
        <v>606</v>
      </c>
      <c r="H15" s="112">
        <v>565</v>
      </c>
      <c r="I15" s="119">
        <f t="shared" si="3"/>
        <v>93.23432343234323</v>
      </c>
      <c r="J15" s="111">
        <v>7</v>
      </c>
      <c r="K15" s="103">
        <v>6</v>
      </c>
      <c r="L15" s="119">
        <f t="shared" si="4"/>
        <v>85.71428571428571</v>
      </c>
      <c r="M15" s="106">
        <f t="shared" si="5"/>
        <v>9619.047619047618</v>
      </c>
      <c r="N15" s="106">
        <f t="shared" si="5"/>
        <v>10462.962962962964</v>
      </c>
      <c r="O15" s="119">
        <f t="shared" si="6"/>
        <v>108.77337733773378</v>
      </c>
      <c r="P15" s="107">
        <f t="shared" si="0"/>
        <v>186</v>
      </c>
      <c r="Q15" s="107">
        <f t="shared" si="1"/>
        <v>117.66666666666667</v>
      </c>
      <c r="R15" s="119">
        <f t="shared" si="7"/>
        <v>63.261648745519715</v>
      </c>
      <c r="S15" s="109">
        <f t="shared" si="8"/>
        <v>203.4072331612112</v>
      </c>
      <c r="T15" s="109">
        <f t="shared" si="9"/>
        <v>5319.112962962963</v>
      </c>
      <c r="U15" s="109">
        <f t="shared" si="10"/>
        <v>94.88976462904584</v>
      </c>
      <c r="V15" s="109">
        <f t="shared" si="11"/>
        <v>-563.477037037037</v>
      </c>
    </row>
    <row r="16" spans="1:22" ht="12.75" customHeight="1">
      <c r="A16" s="101">
        <v>8</v>
      </c>
      <c r="B16" s="102" t="s">
        <v>131</v>
      </c>
      <c r="C16" s="113">
        <v>8300</v>
      </c>
      <c r="D16" s="103">
        <v>6206</v>
      </c>
      <c r="E16" s="119">
        <f t="shared" si="2"/>
        <v>74.77108433734941</v>
      </c>
      <c r="F16" s="104">
        <f t="shared" si="12"/>
        <v>-2094</v>
      </c>
      <c r="G16" s="111">
        <v>2384</v>
      </c>
      <c r="H16" s="103">
        <v>2165</v>
      </c>
      <c r="I16" s="119">
        <f t="shared" si="3"/>
        <v>90.81375838926175</v>
      </c>
      <c r="J16" s="111">
        <v>21</v>
      </c>
      <c r="K16" s="103">
        <v>20</v>
      </c>
      <c r="L16" s="119">
        <f t="shared" si="4"/>
        <v>95.23809523809523</v>
      </c>
      <c r="M16" s="106">
        <f t="shared" si="5"/>
        <v>12613.756613756612</v>
      </c>
      <c r="N16" s="106">
        <f t="shared" si="5"/>
        <v>12027.777777777777</v>
      </c>
      <c r="O16" s="119">
        <f t="shared" si="6"/>
        <v>95.35444630872483</v>
      </c>
      <c r="P16" s="107">
        <f t="shared" si="0"/>
        <v>395.23809523809524</v>
      </c>
      <c r="Q16" s="107">
        <f t="shared" si="1"/>
        <v>310.3</v>
      </c>
      <c r="R16" s="119">
        <f t="shared" si="7"/>
        <v>78.50963855421686</v>
      </c>
      <c r="S16" s="109">
        <f t="shared" si="8"/>
        <v>233.82831493487907</v>
      </c>
      <c r="T16" s="109">
        <f t="shared" si="9"/>
        <v>6883.927777777777</v>
      </c>
      <c r="U16" s="109">
        <f t="shared" si="10"/>
        <v>109.08124270188544</v>
      </c>
      <c r="V16" s="109">
        <f t="shared" si="11"/>
        <v>1001.3377777777769</v>
      </c>
    </row>
    <row r="17" spans="1:22" ht="12.75">
      <c r="A17" s="101">
        <v>9</v>
      </c>
      <c r="B17" s="114" t="s">
        <v>132</v>
      </c>
      <c r="C17" s="115">
        <v>1773</v>
      </c>
      <c r="D17" s="103">
        <f>193+157+162+157+221+231+246+219+195</f>
        <v>1781</v>
      </c>
      <c r="E17" s="119">
        <f t="shared" si="2"/>
        <v>100.45121263395376</v>
      </c>
      <c r="F17" s="104">
        <f t="shared" si="12"/>
        <v>8</v>
      </c>
      <c r="G17" s="111"/>
      <c r="H17" s="103"/>
      <c r="I17" s="119"/>
      <c r="J17" s="111">
        <v>42</v>
      </c>
      <c r="K17" s="103">
        <v>44</v>
      </c>
      <c r="L17" s="119">
        <f t="shared" si="4"/>
        <v>104.76190476190477</v>
      </c>
      <c r="M17" s="106"/>
      <c r="N17" s="106"/>
      <c r="O17" s="119"/>
      <c r="P17" s="107">
        <f t="shared" si="0"/>
        <v>42.214285714285715</v>
      </c>
      <c r="Q17" s="107">
        <f t="shared" si="1"/>
        <v>40.47727272727273</v>
      </c>
      <c r="R17" s="119">
        <f t="shared" si="7"/>
        <v>95.88524842331948</v>
      </c>
      <c r="S17" s="109">
        <f t="shared" si="8"/>
        <v>0</v>
      </c>
      <c r="T17" s="109">
        <f t="shared" si="9"/>
        <v>-5143.85</v>
      </c>
      <c r="U17" s="109">
        <f t="shared" si="10"/>
        <v>0</v>
      </c>
      <c r="V17" s="109">
        <f t="shared" si="11"/>
        <v>-11026.44</v>
      </c>
    </row>
    <row r="18" spans="1:22" ht="12.75">
      <c r="A18" s="101">
        <f t="shared" si="13"/>
        <v>10</v>
      </c>
      <c r="B18" s="114" t="s">
        <v>133</v>
      </c>
      <c r="C18" s="114">
        <v>5179</v>
      </c>
      <c r="D18" s="103">
        <v>5567</v>
      </c>
      <c r="E18" s="119">
        <f t="shared" si="2"/>
        <v>107.49179378258351</v>
      </c>
      <c r="F18" s="104">
        <f t="shared" si="12"/>
        <v>388</v>
      </c>
      <c r="G18" s="111">
        <v>12421</v>
      </c>
      <c r="H18" s="103">
        <v>14160</v>
      </c>
      <c r="I18" s="119">
        <f t="shared" si="3"/>
        <v>114.0004830528943</v>
      </c>
      <c r="J18" s="111">
        <v>45</v>
      </c>
      <c r="K18" s="103">
        <v>44</v>
      </c>
      <c r="L18" s="119">
        <f t="shared" si="4"/>
        <v>97.77777777777777</v>
      </c>
      <c r="M18" s="106">
        <f t="shared" si="5"/>
        <v>30669.13580246914</v>
      </c>
      <c r="N18" s="106">
        <f t="shared" si="5"/>
        <v>35757.57575757576</v>
      </c>
      <c r="O18" s="119">
        <f t="shared" si="6"/>
        <v>116.59140312227825</v>
      </c>
      <c r="P18" s="107">
        <f t="shared" si="0"/>
        <v>115.08888888888889</v>
      </c>
      <c r="Q18" s="107">
        <f t="shared" si="1"/>
        <v>126.52272727272727</v>
      </c>
      <c r="R18" s="119">
        <f t="shared" si="7"/>
        <v>109.93478909582404</v>
      </c>
      <c r="S18" s="109">
        <f t="shared" si="8"/>
        <v>695.15199233212</v>
      </c>
      <c r="T18" s="109">
        <f t="shared" si="9"/>
        <v>30613.72575757576</v>
      </c>
      <c r="U18" s="109">
        <f t="shared" si="10"/>
        <v>324.2893967370771</v>
      </c>
      <c r="V18" s="109">
        <f t="shared" si="11"/>
        <v>24731.135757575757</v>
      </c>
    </row>
    <row r="19" spans="1:22" ht="12.75">
      <c r="A19" s="101">
        <f t="shared" si="13"/>
        <v>11</v>
      </c>
      <c r="B19" s="114" t="s">
        <v>134</v>
      </c>
      <c r="C19" s="114">
        <v>112065</v>
      </c>
      <c r="D19" s="103">
        <v>138578</v>
      </c>
      <c r="E19" s="119">
        <f t="shared" si="2"/>
        <v>123.6585909962968</v>
      </c>
      <c r="F19" s="104">
        <f t="shared" si="12"/>
        <v>26513</v>
      </c>
      <c r="G19" s="111">
        <v>33538</v>
      </c>
      <c r="H19" s="103">
        <v>47142</v>
      </c>
      <c r="I19" s="119">
        <f t="shared" si="3"/>
        <v>140.56294352674578</v>
      </c>
      <c r="J19" s="111">
        <v>114</v>
      </c>
      <c r="K19" s="103">
        <v>152</v>
      </c>
      <c r="L19" s="119">
        <f t="shared" si="4"/>
        <v>133.33333333333331</v>
      </c>
      <c r="M19" s="106">
        <f t="shared" si="5"/>
        <v>32688.10916179337</v>
      </c>
      <c r="N19" s="106">
        <f t="shared" si="5"/>
        <v>34460.52631578947</v>
      </c>
      <c r="O19" s="119">
        <f t="shared" si="6"/>
        <v>105.42220764505934</v>
      </c>
      <c r="P19" s="107">
        <f t="shared" si="0"/>
        <v>983.0263157894736</v>
      </c>
      <c r="Q19" s="107">
        <f t="shared" si="1"/>
        <v>911.6973684210526</v>
      </c>
      <c r="R19" s="119">
        <f t="shared" si="7"/>
        <v>92.74394324722259</v>
      </c>
      <c r="S19" s="109">
        <f t="shared" si="8"/>
        <v>669.93645451927</v>
      </c>
      <c r="T19" s="109">
        <f t="shared" si="9"/>
        <v>29316.676315789475</v>
      </c>
      <c r="U19" s="109">
        <f t="shared" si="10"/>
        <v>312.52631235275817</v>
      </c>
      <c r="V19" s="109">
        <f t="shared" si="11"/>
        <v>23434.08631578947</v>
      </c>
    </row>
    <row r="20" spans="1:22" ht="12.75">
      <c r="A20" s="101"/>
      <c r="B20" s="116" t="s">
        <v>26</v>
      </c>
      <c r="C20" s="114">
        <f>SUM(C9:C19)</f>
        <v>253875</v>
      </c>
      <c r="D20" s="114">
        <f>SUM(D9:D19)</f>
        <v>282349</v>
      </c>
      <c r="E20" s="119">
        <f t="shared" si="2"/>
        <v>111.21575578532743</v>
      </c>
      <c r="F20" s="108">
        <f t="shared" si="12"/>
        <v>28474</v>
      </c>
      <c r="G20" s="117">
        <f>SUM(G9:G19)</f>
        <v>83424</v>
      </c>
      <c r="H20" s="110">
        <f>SUM(H9:H19)</f>
        <v>100133</v>
      </c>
      <c r="I20" s="119">
        <f t="shared" si="3"/>
        <v>120.02900843881856</v>
      </c>
      <c r="J20" s="118">
        <f>SUM(J9:J19)</f>
        <v>550</v>
      </c>
      <c r="K20" s="111">
        <f>SUM(K9:K19)</f>
        <v>594</v>
      </c>
      <c r="L20" s="119">
        <f t="shared" si="4"/>
        <v>108</v>
      </c>
      <c r="M20" s="107">
        <f>G20/(J20-J17)*1000/9</f>
        <v>18246.71916010499</v>
      </c>
      <c r="N20" s="107">
        <f>H20/(K20-K17)*1000/9</f>
        <v>20228.88888888889</v>
      </c>
      <c r="O20" s="119">
        <f t="shared" si="6"/>
        <v>110.86315688530878</v>
      </c>
      <c r="P20" s="107">
        <f t="shared" si="0"/>
        <v>461.59090909090907</v>
      </c>
      <c r="Q20" s="107">
        <f t="shared" si="1"/>
        <v>475.33501683501686</v>
      </c>
      <c r="R20" s="119">
        <f t="shared" si="7"/>
        <v>102.97755165308095</v>
      </c>
      <c r="S20" s="109">
        <f t="shared" si="8"/>
        <v>393.2635844530632</v>
      </c>
      <c r="T20" s="109">
        <f t="shared" si="9"/>
        <v>15085.03888888889</v>
      </c>
      <c r="U20" s="109">
        <f t="shared" si="10"/>
        <v>183.45802352245047</v>
      </c>
      <c r="V20" s="109">
        <f t="shared" si="11"/>
        <v>9202.44888888889</v>
      </c>
    </row>
    <row r="28" ht="12.75">
      <c r="L28" s="65" t="s">
        <v>2</v>
      </c>
    </row>
  </sheetData>
  <sheetProtection/>
  <mergeCells count="10">
    <mergeCell ref="A5:V5"/>
    <mergeCell ref="A7:A8"/>
    <mergeCell ref="B7:B8"/>
    <mergeCell ref="C7:F7"/>
    <mergeCell ref="G7:I7"/>
    <mergeCell ref="J7:L7"/>
    <mergeCell ref="M7:O7"/>
    <mergeCell ref="P7:R7"/>
    <mergeCell ref="S7:T7"/>
    <mergeCell ref="U7:V7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J32"/>
  <sheetViews>
    <sheetView zoomScalePageLayoutView="0" workbookViewId="0" topLeftCell="A5">
      <pane xSplit="2" ySplit="4" topLeftCell="C9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140625" defaultRowHeight="15"/>
  <cols>
    <col min="1" max="1" width="3.28125" style="65" customWidth="1"/>
    <col min="2" max="2" width="23.421875" style="65" customWidth="1"/>
    <col min="3" max="5" width="10.00390625" style="65" customWidth="1"/>
    <col min="6" max="6" width="10.00390625" style="65" hidden="1" customWidth="1"/>
    <col min="7" max="7" width="8.140625" style="65" hidden="1" customWidth="1"/>
    <col min="8" max="8" width="8.57421875" style="65" hidden="1" customWidth="1"/>
    <col min="9" max="9" width="7.28125" style="65" hidden="1" customWidth="1"/>
    <col min="10" max="10" width="7.140625" style="65" hidden="1" customWidth="1"/>
    <col min="11" max="11" width="6.8515625" style="65" hidden="1" customWidth="1"/>
    <col min="12" max="12" width="6.140625" style="65" hidden="1" customWidth="1"/>
    <col min="13" max="17" width="7.7109375" style="65" hidden="1" customWidth="1"/>
    <col min="18" max="20" width="9.7109375" style="65" customWidth="1"/>
    <col min="21" max="21" width="9.7109375" style="65" hidden="1" customWidth="1"/>
    <col min="22" max="23" width="8.140625" style="65" customWidth="1"/>
    <col min="24" max="24" width="7.7109375" style="65" customWidth="1"/>
    <col min="25" max="25" width="8.140625" style="65" hidden="1" customWidth="1"/>
    <col min="26" max="26" width="7.57421875" style="65" customWidth="1"/>
    <col min="27" max="28" width="7.7109375" style="65" customWidth="1"/>
    <col min="29" max="29" width="5.7109375" style="65" hidden="1" customWidth="1"/>
    <col min="30" max="31" width="9.00390625" style="65" customWidth="1"/>
    <col min="32" max="16384" width="9.140625" style="65" customWidth="1"/>
  </cols>
  <sheetData>
    <row r="5" spans="1:30" ht="14.25" customHeight="1">
      <c r="A5" s="143" t="s">
        <v>121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63"/>
    </row>
    <row r="6" spans="1:30" ht="14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7"/>
      <c r="AB6" s="67"/>
      <c r="AC6" s="67"/>
      <c r="AD6" s="67"/>
    </row>
    <row r="7" spans="1:31" ht="46.5" customHeight="1">
      <c r="A7" s="144" t="s">
        <v>20</v>
      </c>
      <c r="B7" s="144" t="s">
        <v>84</v>
      </c>
      <c r="C7" s="135" t="s">
        <v>120</v>
      </c>
      <c r="D7" s="136"/>
      <c r="E7" s="136"/>
      <c r="F7" s="136"/>
      <c r="G7" s="135" t="s">
        <v>85</v>
      </c>
      <c r="H7" s="136"/>
      <c r="I7" s="137"/>
      <c r="J7" s="135" t="s">
        <v>86</v>
      </c>
      <c r="K7" s="136"/>
      <c r="L7" s="137"/>
      <c r="M7" s="135" t="s">
        <v>87</v>
      </c>
      <c r="N7" s="136"/>
      <c r="O7" s="137"/>
      <c r="P7" s="138" t="s">
        <v>88</v>
      </c>
      <c r="Q7" s="139"/>
      <c r="R7" s="135" t="s">
        <v>89</v>
      </c>
      <c r="S7" s="136"/>
      <c r="T7" s="136"/>
      <c r="U7" s="137"/>
      <c r="V7" s="135" t="s">
        <v>90</v>
      </c>
      <c r="W7" s="136"/>
      <c r="X7" s="136"/>
      <c r="Y7" s="137"/>
      <c r="Z7" s="140" t="s">
        <v>91</v>
      </c>
      <c r="AA7" s="140"/>
      <c r="AB7" s="140"/>
      <c r="AC7" s="140"/>
      <c r="AD7" s="135" t="s">
        <v>136</v>
      </c>
      <c r="AE7" s="137"/>
    </row>
    <row r="8" spans="1:31" ht="33.75" customHeight="1">
      <c r="A8" s="145"/>
      <c r="B8" s="145"/>
      <c r="C8" s="71">
        <v>2013</v>
      </c>
      <c r="D8" s="71">
        <v>2014</v>
      </c>
      <c r="E8" s="70" t="s">
        <v>94</v>
      </c>
      <c r="F8" s="70" t="s">
        <v>94</v>
      </c>
      <c r="G8" s="71">
        <v>2013</v>
      </c>
      <c r="H8" s="71">
        <v>2014</v>
      </c>
      <c r="I8" s="70" t="s">
        <v>95</v>
      </c>
      <c r="J8" s="71">
        <v>2013</v>
      </c>
      <c r="K8" s="71">
        <v>2014</v>
      </c>
      <c r="L8" s="70" t="s">
        <v>95</v>
      </c>
      <c r="M8" s="71" t="s">
        <v>96</v>
      </c>
      <c r="N8" s="71" t="s">
        <v>97</v>
      </c>
      <c r="O8" s="70" t="s">
        <v>95</v>
      </c>
      <c r="P8" s="71" t="s">
        <v>96</v>
      </c>
      <c r="Q8" s="71" t="s">
        <v>97</v>
      </c>
      <c r="R8" s="71">
        <v>2013</v>
      </c>
      <c r="S8" s="71">
        <v>2014</v>
      </c>
      <c r="T8" s="70" t="s">
        <v>94</v>
      </c>
      <c r="U8" s="70" t="s">
        <v>95</v>
      </c>
      <c r="V8" s="71">
        <v>2013</v>
      </c>
      <c r="W8" s="71">
        <v>2014</v>
      </c>
      <c r="X8" s="70" t="s">
        <v>94</v>
      </c>
      <c r="Y8" s="70" t="s">
        <v>95</v>
      </c>
      <c r="Z8" s="68">
        <v>2013</v>
      </c>
      <c r="AA8" s="68">
        <v>2014</v>
      </c>
      <c r="AB8" s="69" t="s">
        <v>94</v>
      </c>
      <c r="AC8" s="69" t="s">
        <v>95</v>
      </c>
      <c r="AD8" s="68">
        <v>2013</v>
      </c>
      <c r="AE8" s="68">
        <v>2014</v>
      </c>
    </row>
    <row r="9" spans="1:31" ht="12.75" customHeight="1">
      <c r="A9" s="72">
        <v>1</v>
      </c>
      <c r="B9" s="72" t="s">
        <v>99</v>
      </c>
      <c r="C9" s="76">
        <v>61712</v>
      </c>
      <c r="D9" s="73">
        <v>61098</v>
      </c>
      <c r="E9" s="95">
        <f>D9/C9*100</f>
        <v>99.0050557428053</v>
      </c>
      <c r="F9" s="75">
        <f>D9-C9</f>
        <v>-614</v>
      </c>
      <c r="G9" s="76">
        <v>61712</v>
      </c>
      <c r="H9" s="73">
        <v>61098</v>
      </c>
      <c r="I9" s="75">
        <f>H9-G9</f>
        <v>-614</v>
      </c>
      <c r="J9" s="76"/>
      <c r="K9" s="77"/>
      <c r="L9" s="75"/>
      <c r="M9" s="76"/>
      <c r="N9" s="76"/>
      <c r="O9" s="75"/>
      <c r="P9" s="76"/>
      <c r="Q9" s="76"/>
      <c r="R9" s="76">
        <v>12675</v>
      </c>
      <c r="S9" s="73">
        <v>13955</v>
      </c>
      <c r="T9" s="96">
        <f>S9/R9*100</f>
        <v>110.09861932938855</v>
      </c>
      <c r="U9" s="75">
        <f>S9-R9</f>
        <v>1280</v>
      </c>
      <c r="V9" s="76">
        <v>105</v>
      </c>
      <c r="W9" s="73">
        <v>105</v>
      </c>
      <c r="X9" s="97">
        <f>W9/V9*100</f>
        <v>100</v>
      </c>
      <c r="Y9" s="75">
        <f>W9-V9</f>
        <v>0</v>
      </c>
      <c r="Z9" s="120">
        <f aca="true" t="shared" si="0" ref="Z9:AA11">R9/V9/9*1000</f>
        <v>13412.698412698412</v>
      </c>
      <c r="AA9" s="120">
        <f t="shared" si="0"/>
        <v>14767.195767195766</v>
      </c>
      <c r="AB9" s="121">
        <f>AA9/Z9*100</f>
        <v>110.09861932938855</v>
      </c>
      <c r="AC9" s="74">
        <f>AA9-Z9</f>
        <v>1354.4973544973545</v>
      </c>
      <c r="AD9" s="85">
        <f>C9/V9</f>
        <v>587.7333333333333</v>
      </c>
      <c r="AE9" s="85">
        <f>D9/W9</f>
        <v>581.8857142857142</v>
      </c>
    </row>
    <row r="10" spans="1:31" ht="12.75">
      <c r="A10" s="72">
        <f>A9+1</f>
        <v>2</v>
      </c>
      <c r="B10" s="72" t="s">
        <v>100</v>
      </c>
      <c r="C10" s="79">
        <v>940276</v>
      </c>
      <c r="D10" s="73">
        <v>1110463</v>
      </c>
      <c r="E10" s="95">
        <f aca="true" t="shared" si="1" ref="E10:E29">D10/C10*100</f>
        <v>118.09968562422097</v>
      </c>
      <c r="F10" s="75">
        <f aca="true" t="shared" si="2" ref="F10:F29">D10-C10</f>
        <v>170187</v>
      </c>
      <c r="G10" s="79">
        <v>778077</v>
      </c>
      <c r="H10" s="73">
        <v>1093197</v>
      </c>
      <c r="I10" s="75">
        <f aca="true" t="shared" si="3" ref="I10:I29">H10-G10</f>
        <v>315120</v>
      </c>
      <c r="J10" s="79">
        <v>37754</v>
      </c>
      <c r="K10" s="73">
        <v>28079</v>
      </c>
      <c r="L10" s="75">
        <f aca="true" t="shared" si="4" ref="L10:L29">K10-J10</f>
        <v>-9675</v>
      </c>
      <c r="M10" s="80"/>
      <c r="N10" s="80"/>
      <c r="O10" s="81"/>
      <c r="P10" s="80"/>
      <c r="Q10" s="80"/>
      <c r="R10" s="79">
        <v>35011</v>
      </c>
      <c r="S10" s="73">
        <v>39399</v>
      </c>
      <c r="T10" s="96">
        <f aca="true" t="shared" si="5" ref="T10:T29">S10/R10*100</f>
        <v>112.5332038502185</v>
      </c>
      <c r="U10" s="75">
        <f aca="true" t="shared" si="6" ref="U10:U29">S10-R10</f>
        <v>4388</v>
      </c>
      <c r="V10" s="79">
        <v>190</v>
      </c>
      <c r="W10" s="73">
        <v>195</v>
      </c>
      <c r="X10" s="97">
        <f aca="true" t="shared" si="7" ref="X10:X29">W10/V10*100</f>
        <v>102.63157894736842</v>
      </c>
      <c r="Y10" s="75">
        <f aca="true" t="shared" si="8" ref="Y10:Y29">W10-V10</f>
        <v>5</v>
      </c>
      <c r="Z10" s="120">
        <f t="shared" si="0"/>
        <v>20474.26900584795</v>
      </c>
      <c r="AA10" s="120">
        <f t="shared" si="0"/>
        <v>22449.572649572652</v>
      </c>
      <c r="AB10" s="121">
        <f aca="true" t="shared" si="9" ref="AB10:AB29">AA10/Z10*100</f>
        <v>109.64773708482831</v>
      </c>
      <c r="AC10" s="74">
        <f aca="true" t="shared" si="10" ref="AC10:AC28">AA10-Z10</f>
        <v>1975.3036437247029</v>
      </c>
      <c r="AD10" s="85">
        <f aca="true" t="shared" si="11" ref="AD10:AD29">C10/V10</f>
        <v>4948.821052631579</v>
      </c>
      <c r="AE10" s="85">
        <f aca="true" t="shared" si="12" ref="AE10:AE29">D10/W10</f>
        <v>5694.682051282051</v>
      </c>
    </row>
    <row r="11" spans="1:31" ht="12.75">
      <c r="A11" s="72">
        <f>A10+1</f>
        <v>3</v>
      </c>
      <c r="B11" s="72" t="s">
        <v>101</v>
      </c>
      <c r="C11" s="79">
        <v>6312</v>
      </c>
      <c r="D11" s="73">
        <v>3989</v>
      </c>
      <c r="E11" s="95">
        <f t="shared" si="1"/>
        <v>63.19708491761724</v>
      </c>
      <c r="F11" s="75">
        <f t="shared" si="2"/>
        <v>-2323</v>
      </c>
      <c r="G11" s="79">
        <v>6312</v>
      </c>
      <c r="H11" s="73">
        <v>3989</v>
      </c>
      <c r="I11" s="75">
        <f t="shared" si="3"/>
        <v>-2323</v>
      </c>
      <c r="J11" s="79"/>
      <c r="K11" s="77"/>
      <c r="L11" s="75">
        <f t="shared" si="4"/>
        <v>0</v>
      </c>
      <c r="M11" s="79"/>
      <c r="N11" s="79"/>
      <c r="O11" s="75"/>
      <c r="P11" s="79"/>
      <c r="Q11" s="79"/>
      <c r="R11" s="79">
        <v>1261</v>
      </c>
      <c r="S11" s="73">
        <v>1137</v>
      </c>
      <c r="T11" s="96">
        <f t="shared" si="5"/>
        <v>90.16653449643141</v>
      </c>
      <c r="U11" s="75">
        <f t="shared" si="6"/>
        <v>-124</v>
      </c>
      <c r="V11" s="79">
        <v>15</v>
      </c>
      <c r="W11" s="73">
        <v>12</v>
      </c>
      <c r="X11" s="97">
        <f t="shared" si="7"/>
        <v>80</v>
      </c>
      <c r="Y11" s="75">
        <f t="shared" si="8"/>
        <v>-3</v>
      </c>
      <c r="Z11" s="120">
        <f t="shared" si="0"/>
        <v>9340.74074074074</v>
      </c>
      <c r="AA11" s="120">
        <f t="shared" si="0"/>
        <v>10527.77777777778</v>
      </c>
      <c r="AB11" s="121">
        <f t="shared" si="9"/>
        <v>112.70816812053927</v>
      </c>
      <c r="AC11" s="74">
        <f t="shared" si="10"/>
        <v>1187.0370370370383</v>
      </c>
      <c r="AD11" s="85">
        <f t="shared" si="11"/>
        <v>420.8</v>
      </c>
      <c r="AE11" s="85">
        <f t="shared" si="12"/>
        <v>332.4166666666667</v>
      </c>
    </row>
    <row r="12" spans="1:31" ht="12.75">
      <c r="A12" s="72">
        <v>4</v>
      </c>
      <c r="B12" s="72" t="s">
        <v>102</v>
      </c>
      <c r="C12" s="82">
        <v>13692</v>
      </c>
      <c r="D12" s="73">
        <v>0</v>
      </c>
      <c r="E12" s="95">
        <f t="shared" si="1"/>
        <v>0</v>
      </c>
      <c r="F12" s="75">
        <f t="shared" si="2"/>
        <v>-13692</v>
      </c>
      <c r="G12" s="82">
        <v>7563</v>
      </c>
      <c r="H12" s="83">
        <v>0</v>
      </c>
      <c r="I12" s="75">
        <f t="shared" si="3"/>
        <v>-7563</v>
      </c>
      <c r="J12" s="79"/>
      <c r="K12" s="77"/>
      <c r="L12" s="75"/>
      <c r="M12" s="79"/>
      <c r="N12" s="79"/>
      <c r="O12" s="75"/>
      <c r="P12" s="79"/>
      <c r="Q12" s="79"/>
      <c r="R12" s="82">
        <v>4714</v>
      </c>
      <c r="S12" s="73">
        <v>0</v>
      </c>
      <c r="T12" s="96">
        <f t="shared" si="5"/>
        <v>0</v>
      </c>
      <c r="U12" s="75">
        <f t="shared" si="6"/>
        <v>-4714</v>
      </c>
      <c r="V12" s="79">
        <v>78</v>
      </c>
      <c r="W12" s="73">
        <v>0</v>
      </c>
      <c r="X12" s="97">
        <f t="shared" si="7"/>
        <v>0</v>
      </c>
      <c r="Y12" s="75">
        <f t="shared" si="8"/>
        <v>-78</v>
      </c>
      <c r="Z12" s="120">
        <f>R12/V12/7*1000</f>
        <v>8633.699633699633</v>
      </c>
      <c r="AA12" s="120"/>
      <c r="AB12" s="121">
        <f t="shared" si="9"/>
        <v>0</v>
      </c>
      <c r="AC12" s="74">
        <f t="shared" si="10"/>
        <v>-8633.699633699633</v>
      </c>
      <c r="AD12" s="85">
        <f t="shared" si="11"/>
        <v>175.53846153846155</v>
      </c>
      <c r="AE12" s="85"/>
    </row>
    <row r="13" spans="1:31" ht="12.75">
      <c r="A13" s="72">
        <v>5</v>
      </c>
      <c r="B13" s="72" t="s">
        <v>103</v>
      </c>
      <c r="C13" s="79">
        <v>6175</v>
      </c>
      <c r="D13" s="73">
        <v>7560</v>
      </c>
      <c r="E13" s="95">
        <f t="shared" si="1"/>
        <v>122.42914979757084</v>
      </c>
      <c r="F13" s="75">
        <f t="shared" si="2"/>
        <v>1385</v>
      </c>
      <c r="G13" s="79">
        <v>6499</v>
      </c>
      <c r="H13" s="73">
        <v>7700</v>
      </c>
      <c r="I13" s="75">
        <f t="shared" si="3"/>
        <v>1201</v>
      </c>
      <c r="J13" s="79"/>
      <c r="K13" s="77"/>
      <c r="L13" s="75">
        <f t="shared" si="4"/>
        <v>0</v>
      </c>
      <c r="M13" s="79"/>
      <c r="N13" s="79"/>
      <c r="O13" s="75"/>
      <c r="P13" s="79"/>
      <c r="Q13" s="79"/>
      <c r="R13" s="79">
        <v>3122</v>
      </c>
      <c r="S13" s="73">
        <v>3072</v>
      </c>
      <c r="T13" s="96">
        <f t="shared" si="5"/>
        <v>98.39846252402307</v>
      </c>
      <c r="U13" s="75">
        <f t="shared" si="6"/>
        <v>-50</v>
      </c>
      <c r="V13" s="79">
        <v>28</v>
      </c>
      <c r="W13" s="73">
        <v>24</v>
      </c>
      <c r="X13" s="97">
        <f t="shared" si="7"/>
        <v>85.71428571428571</v>
      </c>
      <c r="Y13" s="75">
        <f t="shared" si="8"/>
        <v>-4</v>
      </c>
      <c r="Z13" s="120">
        <f>R13/V13/9*1000</f>
        <v>12388.888888888889</v>
      </c>
      <c r="AA13" s="120">
        <f>S13/W13/9*1000</f>
        <v>14222.22222222222</v>
      </c>
      <c r="AB13" s="121">
        <f t="shared" si="9"/>
        <v>114.79820627802691</v>
      </c>
      <c r="AC13" s="74">
        <f t="shared" si="10"/>
        <v>1833.3333333333321</v>
      </c>
      <c r="AD13" s="85">
        <f t="shared" si="11"/>
        <v>220.53571428571428</v>
      </c>
      <c r="AE13" s="85">
        <f t="shared" si="12"/>
        <v>315</v>
      </c>
    </row>
    <row r="14" spans="1:31" ht="12.75">
      <c r="A14" s="72">
        <v>6</v>
      </c>
      <c r="B14" s="72" t="s">
        <v>104</v>
      </c>
      <c r="C14" s="79">
        <v>21000</v>
      </c>
      <c r="D14" s="73">
        <v>21000</v>
      </c>
      <c r="E14" s="95">
        <f t="shared" si="1"/>
        <v>100</v>
      </c>
      <c r="F14" s="75">
        <f t="shared" si="2"/>
        <v>0</v>
      </c>
      <c r="G14" s="79">
        <v>21000</v>
      </c>
      <c r="H14" s="73">
        <v>21000</v>
      </c>
      <c r="I14" s="75">
        <f t="shared" si="3"/>
        <v>0</v>
      </c>
      <c r="J14" s="79">
        <v>800</v>
      </c>
      <c r="K14" s="73">
        <v>700</v>
      </c>
      <c r="L14" s="75">
        <f t="shared" si="4"/>
        <v>-100</v>
      </c>
      <c r="M14" s="79"/>
      <c r="N14" s="79"/>
      <c r="O14" s="75"/>
      <c r="P14" s="79"/>
      <c r="Q14" s="79"/>
      <c r="R14" s="79">
        <v>3453</v>
      </c>
      <c r="S14" s="73">
        <v>1939</v>
      </c>
      <c r="T14" s="96">
        <f t="shared" si="5"/>
        <v>56.15406892557196</v>
      </c>
      <c r="U14" s="75">
        <f t="shared" si="6"/>
        <v>-1514</v>
      </c>
      <c r="V14" s="79">
        <v>42</v>
      </c>
      <c r="W14" s="73">
        <v>16</v>
      </c>
      <c r="X14" s="97">
        <f t="shared" si="7"/>
        <v>38.095238095238095</v>
      </c>
      <c r="Y14" s="75">
        <f t="shared" si="8"/>
        <v>-26</v>
      </c>
      <c r="Z14" s="120">
        <f>R14/V14/9*1000</f>
        <v>9134.920634920634</v>
      </c>
      <c r="AA14" s="120">
        <f>S14/W14/9*1000</f>
        <v>13465.27777777778</v>
      </c>
      <c r="AB14" s="121">
        <f t="shared" si="9"/>
        <v>147.40443092962641</v>
      </c>
      <c r="AC14" s="74">
        <f t="shared" si="10"/>
        <v>4330.357142857145</v>
      </c>
      <c r="AD14" s="85">
        <f t="shared" si="11"/>
        <v>500</v>
      </c>
      <c r="AE14" s="85">
        <f t="shared" si="12"/>
        <v>1312.5</v>
      </c>
    </row>
    <row r="15" spans="1:31" ht="12.75">
      <c r="A15" s="72">
        <v>7</v>
      </c>
      <c r="B15" s="72" t="s">
        <v>105</v>
      </c>
      <c r="C15" s="82">
        <v>1002</v>
      </c>
      <c r="D15" s="73">
        <v>1459</v>
      </c>
      <c r="E15" s="95">
        <f t="shared" si="1"/>
        <v>145.60878243512974</v>
      </c>
      <c r="F15" s="75">
        <f t="shared" si="2"/>
        <v>457</v>
      </c>
      <c r="G15" s="79">
        <v>343</v>
      </c>
      <c r="H15" s="73">
        <v>668</v>
      </c>
      <c r="I15" s="75">
        <f t="shared" si="3"/>
        <v>325</v>
      </c>
      <c r="J15" s="79"/>
      <c r="K15" s="77"/>
      <c r="L15" s="75">
        <f t="shared" si="4"/>
        <v>0</v>
      </c>
      <c r="M15" s="79"/>
      <c r="N15" s="79"/>
      <c r="O15" s="75"/>
      <c r="P15" s="79"/>
      <c r="Q15" s="79"/>
      <c r="R15" s="79">
        <v>1354</v>
      </c>
      <c r="S15" s="73">
        <v>1058</v>
      </c>
      <c r="T15" s="96">
        <f t="shared" si="5"/>
        <v>78.13884785819793</v>
      </c>
      <c r="U15" s="75">
        <f t="shared" si="6"/>
        <v>-296</v>
      </c>
      <c r="V15" s="79">
        <v>17</v>
      </c>
      <c r="W15" s="73">
        <v>16</v>
      </c>
      <c r="X15" s="97">
        <f t="shared" si="7"/>
        <v>94.11764705882352</v>
      </c>
      <c r="Y15" s="75">
        <f t="shared" si="8"/>
        <v>-1</v>
      </c>
      <c r="Z15" s="120">
        <f aca="true" t="shared" si="13" ref="Z15:Z29">R15/V15/9*1000</f>
        <v>8849.673202614378</v>
      </c>
      <c r="AA15" s="120">
        <f>S15/W15/7.2*1000</f>
        <v>9184.027777777777</v>
      </c>
      <c r="AB15" s="121">
        <f t="shared" si="9"/>
        <v>103.77815731166913</v>
      </c>
      <c r="AC15" s="74">
        <f t="shared" si="10"/>
        <v>334.3545751633992</v>
      </c>
      <c r="AD15" s="85">
        <f t="shared" si="11"/>
        <v>58.94117647058823</v>
      </c>
      <c r="AE15" s="85">
        <f t="shared" si="12"/>
        <v>91.1875</v>
      </c>
    </row>
    <row r="16" spans="1:31" ht="12.75">
      <c r="A16" s="72">
        <v>8</v>
      </c>
      <c r="B16" s="72" t="s">
        <v>106</v>
      </c>
      <c r="C16" s="79"/>
      <c r="D16" s="73"/>
      <c r="E16" s="95"/>
      <c r="F16" s="75">
        <f t="shared" si="2"/>
        <v>0</v>
      </c>
      <c r="G16" s="79">
        <v>7710</v>
      </c>
      <c r="H16" s="73">
        <v>7750</v>
      </c>
      <c r="I16" s="75">
        <f t="shared" si="3"/>
        <v>40</v>
      </c>
      <c r="J16" s="79">
        <v>2580</v>
      </c>
      <c r="K16" s="73">
        <v>694</v>
      </c>
      <c r="L16" s="75">
        <f t="shared" si="4"/>
        <v>-1886</v>
      </c>
      <c r="M16" s="79"/>
      <c r="N16" s="79"/>
      <c r="O16" s="75"/>
      <c r="P16" s="79"/>
      <c r="Q16" s="79"/>
      <c r="R16" s="79">
        <v>465</v>
      </c>
      <c r="S16" s="73">
        <v>369</v>
      </c>
      <c r="T16" s="96">
        <f t="shared" si="5"/>
        <v>79.35483870967742</v>
      </c>
      <c r="U16" s="75">
        <f t="shared" si="6"/>
        <v>-96</v>
      </c>
      <c r="V16" s="79">
        <v>6</v>
      </c>
      <c r="W16" s="73">
        <v>4</v>
      </c>
      <c r="X16" s="97">
        <f t="shared" si="7"/>
        <v>66.66666666666666</v>
      </c>
      <c r="Y16" s="75">
        <f t="shared" si="8"/>
        <v>-2</v>
      </c>
      <c r="Z16" s="120">
        <f t="shared" si="13"/>
        <v>8611.111111111111</v>
      </c>
      <c r="AA16" s="120">
        <f aca="true" t="shared" si="14" ref="AA16:AA29">S16/W16/9*1000</f>
        <v>10250</v>
      </c>
      <c r="AB16" s="121">
        <f t="shared" si="9"/>
        <v>119.03225806451611</v>
      </c>
      <c r="AC16" s="74">
        <f t="shared" si="10"/>
        <v>1638.8888888888887</v>
      </c>
      <c r="AD16" s="85">
        <f t="shared" si="11"/>
        <v>0</v>
      </c>
      <c r="AE16" s="85">
        <f t="shared" si="12"/>
        <v>0</v>
      </c>
    </row>
    <row r="17" spans="1:31" ht="12.75">
      <c r="A17" s="72">
        <v>9</v>
      </c>
      <c r="B17" s="88" t="s">
        <v>107</v>
      </c>
      <c r="C17" s="79">
        <v>6485</v>
      </c>
      <c r="D17" s="73">
        <v>3820</v>
      </c>
      <c r="E17" s="95">
        <f t="shared" si="1"/>
        <v>58.905165767154976</v>
      </c>
      <c r="F17" s="75">
        <f t="shared" si="2"/>
        <v>-2665</v>
      </c>
      <c r="G17" s="79">
        <v>6485</v>
      </c>
      <c r="H17" s="73">
        <v>3820</v>
      </c>
      <c r="I17" s="75">
        <f t="shared" si="3"/>
        <v>-2665</v>
      </c>
      <c r="J17" s="79"/>
      <c r="K17" s="77"/>
      <c r="L17" s="75">
        <f t="shared" si="4"/>
        <v>0</v>
      </c>
      <c r="M17" s="79"/>
      <c r="N17" s="79"/>
      <c r="O17" s="75"/>
      <c r="P17" s="79"/>
      <c r="Q17" s="79"/>
      <c r="R17" s="79">
        <v>1240</v>
      </c>
      <c r="S17" s="73">
        <v>901</v>
      </c>
      <c r="T17" s="96">
        <f t="shared" si="5"/>
        <v>72.66129032258064</v>
      </c>
      <c r="U17" s="75">
        <f t="shared" si="6"/>
        <v>-339</v>
      </c>
      <c r="V17" s="79">
        <v>23</v>
      </c>
      <c r="W17" s="73">
        <v>14</v>
      </c>
      <c r="X17" s="97">
        <f t="shared" si="7"/>
        <v>60.86956521739131</v>
      </c>
      <c r="Y17" s="75">
        <f t="shared" si="8"/>
        <v>-9</v>
      </c>
      <c r="Z17" s="120">
        <f t="shared" si="13"/>
        <v>5990.338164251208</v>
      </c>
      <c r="AA17" s="120">
        <f t="shared" si="14"/>
        <v>7150.793650793651</v>
      </c>
      <c r="AB17" s="121">
        <f t="shared" si="9"/>
        <v>119.3721198156682</v>
      </c>
      <c r="AC17" s="74">
        <f t="shared" si="10"/>
        <v>1160.4554865424434</v>
      </c>
      <c r="AD17" s="85">
        <f t="shared" si="11"/>
        <v>281.95652173913044</v>
      </c>
      <c r="AE17" s="85">
        <f t="shared" si="12"/>
        <v>272.85714285714283</v>
      </c>
    </row>
    <row r="18" spans="1:31" ht="12.75">
      <c r="A18" s="72">
        <v>10</v>
      </c>
      <c r="B18" s="88" t="s">
        <v>108</v>
      </c>
      <c r="C18" s="79">
        <v>6635</v>
      </c>
      <c r="D18" s="73">
        <v>5958</v>
      </c>
      <c r="E18" s="95">
        <f t="shared" si="1"/>
        <v>89.79653353428787</v>
      </c>
      <c r="F18" s="75">
        <f t="shared" si="2"/>
        <v>-677</v>
      </c>
      <c r="G18" s="79">
        <v>6635</v>
      </c>
      <c r="H18" s="73">
        <v>5958</v>
      </c>
      <c r="I18" s="75">
        <f t="shared" si="3"/>
        <v>-677</v>
      </c>
      <c r="J18" s="79">
        <v>1456</v>
      </c>
      <c r="K18" s="73">
        <v>1122</v>
      </c>
      <c r="L18" s="75">
        <f t="shared" si="4"/>
        <v>-334</v>
      </c>
      <c r="M18" s="79"/>
      <c r="N18" s="79"/>
      <c r="O18" s="75"/>
      <c r="P18" s="79"/>
      <c r="Q18" s="79"/>
      <c r="R18" s="82">
        <v>1954</v>
      </c>
      <c r="S18" s="73">
        <v>1845</v>
      </c>
      <c r="T18" s="96">
        <f t="shared" si="5"/>
        <v>94.4216990788127</v>
      </c>
      <c r="U18" s="75">
        <f t="shared" si="6"/>
        <v>-109</v>
      </c>
      <c r="V18" s="79">
        <v>23</v>
      </c>
      <c r="W18" s="73">
        <v>23</v>
      </c>
      <c r="X18" s="97">
        <f t="shared" si="7"/>
        <v>100</v>
      </c>
      <c r="Y18" s="75">
        <f t="shared" si="8"/>
        <v>0</v>
      </c>
      <c r="Z18" s="120">
        <f t="shared" si="13"/>
        <v>9439.613526570049</v>
      </c>
      <c r="AA18" s="120">
        <f t="shared" si="14"/>
        <v>8913.04347826087</v>
      </c>
      <c r="AB18" s="121">
        <f t="shared" si="9"/>
        <v>94.4216990788127</v>
      </c>
      <c r="AC18" s="74">
        <f t="shared" si="10"/>
        <v>-526.5700483091787</v>
      </c>
      <c r="AD18" s="85">
        <f t="shared" si="11"/>
        <v>288.4782608695652</v>
      </c>
      <c r="AE18" s="85">
        <f t="shared" si="12"/>
        <v>259.04347826086956</v>
      </c>
    </row>
    <row r="19" spans="1:31" ht="12.75">
      <c r="A19" s="72">
        <v>11</v>
      </c>
      <c r="B19" s="88" t="s">
        <v>109</v>
      </c>
      <c r="C19" s="79">
        <v>17522</v>
      </c>
      <c r="D19" s="73">
        <v>17643</v>
      </c>
      <c r="E19" s="95">
        <f t="shared" si="1"/>
        <v>100.69056043830614</v>
      </c>
      <c r="F19" s="75">
        <f t="shared" si="2"/>
        <v>121</v>
      </c>
      <c r="G19" s="79">
        <v>17522</v>
      </c>
      <c r="H19" s="73">
        <v>17643</v>
      </c>
      <c r="I19" s="75">
        <f t="shared" si="3"/>
        <v>121</v>
      </c>
      <c r="J19" s="79"/>
      <c r="K19" s="77"/>
      <c r="L19" s="75">
        <f t="shared" si="4"/>
        <v>0</v>
      </c>
      <c r="M19" s="79"/>
      <c r="N19" s="79"/>
      <c r="O19" s="75"/>
      <c r="P19" s="79"/>
      <c r="Q19" s="79"/>
      <c r="R19" s="79">
        <v>4841</v>
      </c>
      <c r="S19" s="73">
        <v>4448</v>
      </c>
      <c r="T19" s="96">
        <f t="shared" si="5"/>
        <v>91.88184259450527</v>
      </c>
      <c r="U19" s="75">
        <f t="shared" si="6"/>
        <v>-393</v>
      </c>
      <c r="V19" s="79">
        <v>58</v>
      </c>
      <c r="W19" s="73">
        <v>50</v>
      </c>
      <c r="X19" s="97">
        <f t="shared" si="7"/>
        <v>86.20689655172413</v>
      </c>
      <c r="Y19" s="75">
        <f t="shared" si="8"/>
        <v>-8</v>
      </c>
      <c r="Z19" s="120">
        <f t="shared" si="13"/>
        <v>9273.946360153257</v>
      </c>
      <c r="AA19" s="120">
        <f t="shared" si="14"/>
        <v>9884.444444444443</v>
      </c>
      <c r="AB19" s="121">
        <f t="shared" si="9"/>
        <v>106.5829374096261</v>
      </c>
      <c r="AC19" s="74">
        <f t="shared" si="10"/>
        <v>610.4980842911864</v>
      </c>
      <c r="AD19" s="85">
        <f t="shared" si="11"/>
        <v>302.1034482758621</v>
      </c>
      <c r="AE19" s="85">
        <f t="shared" si="12"/>
        <v>352.86</v>
      </c>
    </row>
    <row r="20" spans="1:31" ht="12.75">
      <c r="A20" s="72">
        <v>12</v>
      </c>
      <c r="B20" s="72" t="s">
        <v>110</v>
      </c>
      <c r="C20" s="82">
        <v>4452</v>
      </c>
      <c r="D20" s="73">
        <v>2786</v>
      </c>
      <c r="E20" s="95">
        <f t="shared" si="1"/>
        <v>62.57861635220125</v>
      </c>
      <c r="F20" s="75">
        <f t="shared" si="2"/>
        <v>-1666</v>
      </c>
      <c r="G20" s="82">
        <v>4400</v>
      </c>
      <c r="H20" s="73">
        <v>2776</v>
      </c>
      <c r="I20" s="75">
        <f t="shared" si="3"/>
        <v>-1624</v>
      </c>
      <c r="J20" s="82"/>
      <c r="K20" s="84"/>
      <c r="L20" s="75">
        <f t="shared" si="4"/>
        <v>0</v>
      </c>
      <c r="M20" s="79"/>
      <c r="N20" s="79"/>
      <c r="O20" s="75"/>
      <c r="P20" s="79"/>
      <c r="Q20" s="79"/>
      <c r="R20" s="82">
        <v>932</v>
      </c>
      <c r="S20" s="73">
        <v>946</v>
      </c>
      <c r="T20" s="96">
        <f t="shared" si="5"/>
        <v>101.50214592274678</v>
      </c>
      <c r="U20" s="75">
        <f t="shared" si="6"/>
        <v>14</v>
      </c>
      <c r="V20" s="79">
        <v>7</v>
      </c>
      <c r="W20" s="73">
        <v>7</v>
      </c>
      <c r="X20" s="97">
        <f t="shared" si="7"/>
        <v>100</v>
      </c>
      <c r="Y20" s="75">
        <f t="shared" si="8"/>
        <v>0</v>
      </c>
      <c r="Z20" s="120">
        <f t="shared" si="13"/>
        <v>14793.650793650793</v>
      </c>
      <c r="AA20" s="120">
        <f t="shared" si="14"/>
        <v>15015.873015873016</v>
      </c>
      <c r="AB20" s="121">
        <f t="shared" si="9"/>
        <v>101.50214592274678</v>
      </c>
      <c r="AC20" s="74">
        <f t="shared" si="10"/>
        <v>222.22222222222263</v>
      </c>
      <c r="AD20" s="85">
        <f t="shared" si="11"/>
        <v>636</v>
      </c>
      <c r="AE20" s="85">
        <f t="shared" si="12"/>
        <v>398</v>
      </c>
    </row>
    <row r="21" spans="1:31" ht="12.75">
      <c r="A21" s="72">
        <v>13</v>
      </c>
      <c r="B21" s="72" t="s">
        <v>111</v>
      </c>
      <c r="C21" s="79">
        <v>17010</v>
      </c>
      <c r="D21" s="73">
        <v>17110</v>
      </c>
      <c r="E21" s="95">
        <f t="shared" si="1"/>
        <v>100.58788947677837</v>
      </c>
      <c r="F21" s="75">
        <f t="shared" si="2"/>
        <v>100</v>
      </c>
      <c r="G21" s="79">
        <v>17010</v>
      </c>
      <c r="H21" s="73">
        <v>17110</v>
      </c>
      <c r="I21" s="75">
        <f t="shared" si="3"/>
        <v>100</v>
      </c>
      <c r="J21" s="79"/>
      <c r="K21" s="77"/>
      <c r="L21" s="75">
        <f t="shared" si="4"/>
        <v>0</v>
      </c>
      <c r="M21" s="79"/>
      <c r="N21" s="79"/>
      <c r="O21" s="75"/>
      <c r="P21" s="79"/>
      <c r="Q21" s="79"/>
      <c r="R21" s="79">
        <v>2620</v>
      </c>
      <c r="S21" s="73">
        <v>1819</v>
      </c>
      <c r="T21" s="96">
        <f t="shared" si="5"/>
        <v>69.42748091603053</v>
      </c>
      <c r="U21" s="75">
        <f t="shared" si="6"/>
        <v>-801</v>
      </c>
      <c r="V21" s="79">
        <v>26</v>
      </c>
      <c r="W21" s="73">
        <v>18</v>
      </c>
      <c r="X21" s="97">
        <f t="shared" si="7"/>
        <v>69.23076923076923</v>
      </c>
      <c r="Y21" s="75">
        <f t="shared" si="8"/>
        <v>-8</v>
      </c>
      <c r="Z21" s="120">
        <f t="shared" si="13"/>
        <v>11196.581196581197</v>
      </c>
      <c r="AA21" s="120">
        <f t="shared" si="14"/>
        <v>11228.395061728395</v>
      </c>
      <c r="AB21" s="121">
        <f t="shared" si="9"/>
        <v>100.28413910093299</v>
      </c>
      <c r="AC21" s="74">
        <f t="shared" si="10"/>
        <v>31.813865147198158</v>
      </c>
      <c r="AD21" s="85">
        <f t="shared" si="11"/>
        <v>654.2307692307693</v>
      </c>
      <c r="AE21" s="85">
        <f t="shared" si="12"/>
        <v>950.5555555555555</v>
      </c>
    </row>
    <row r="22" spans="1:31" ht="12.75">
      <c r="A22" s="72">
        <v>14</v>
      </c>
      <c r="B22" s="89" t="s">
        <v>112</v>
      </c>
      <c r="C22" s="79">
        <v>40657</v>
      </c>
      <c r="D22" s="73">
        <v>16766</v>
      </c>
      <c r="E22" s="95">
        <f t="shared" si="1"/>
        <v>41.2376712497233</v>
      </c>
      <c r="F22" s="75">
        <f t="shared" si="2"/>
        <v>-23891</v>
      </c>
      <c r="G22" s="79">
        <v>40657</v>
      </c>
      <c r="H22" s="73">
        <v>16766</v>
      </c>
      <c r="I22" s="75">
        <f t="shared" si="3"/>
        <v>-23891</v>
      </c>
      <c r="J22" s="79"/>
      <c r="K22" s="77"/>
      <c r="L22" s="75">
        <f t="shared" si="4"/>
        <v>0</v>
      </c>
      <c r="M22" s="79"/>
      <c r="N22" s="79"/>
      <c r="O22" s="75"/>
      <c r="P22" s="79"/>
      <c r="Q22" s="79"/>
      <c r="R22" s="79">
        <v>505</v>
      </c>
      <c r="S22" s="73">
        <v>653</v>
      </c>
      <c r="T22" s="96">
        <f t="shared" si="5"/>
        <v>129.30693069306932</v>
      </c>
      <c r="U22" s="75">
        <f t="shared" si="6"/>
        <v>148</v>
      </c>
      <c r="V22" s="79">
        <v>6</v>
      </c>
      <c r="W22" s="79">
        <v>7</v>
      </c>
      <c r="X22" s="97">
        <f t="shared" si="7"/>
        <v>116.66666666666667</v>
      </c>
      <c r="Y22" s="75">
        <f t="shared" si="8"/>
        <v>1</v>
      </c>
      <c r="Z22" s="120">
        <f t="shared" si="13"/>
        <v>9351.851851851852</v>
      </c>
      <c r="AA22" s="120">
        <f t="shared" si="14"/>
        <v>10365.079365079366</v>
      </c>
      <c r="AB22" s="121">
        <f t="shared" si="9"/>
        <v>110.83451202263083</v>
      </c>
      <c r="AC22" s="74">
        <f t="shared" si="10"/>
        <v>1013.2275132275136</v>
      </c>
      <c r="AD22" s="85">
        <f t="shared" si="11"/>
        <v>6776.166666666667</v>
      </c>
      <c r="AE22" s="85">
        <f t="shared" si="12"/>
        <v>2395.1428571428573</v>
      </c>
    </row>
    <row r="23" spans="1:31" ht="12.75" customHeight="1">
      <c r="A23" s="72">
        <v>15</v>
      </c>
      <c r="B23" s="72" t="s">
        <v>113</v>
      </c>
      <c r="C23" s="79">
        <v>3900</v>
      </c>
      <c r="D23" s="73">
        <v>3800</v>
      </c>
      <c r="E23" s="95">
        <f t="shared" si="1"/>
        <v>97.43589743589743</v>
      </c>
      <c r="F23" s="75">
        <f t="shared" si="2"/>
        <v>-100</v>
      </c>
      <c r="G23" s="79">
        <v>3000</v>
      </c>
      <c r="H23" s="73">
        <v>3100</v>
      </c>
      <c r="I23" s="75">
        <f t="shared" si="3"/>
        <v>100</v>
      </c>
      <c r="J23" s="79"/>
      <c r="K23" s="77"/>
      <c r="L23" s="75">
        <f t="shared" si="4"/>
        <v>0</v>
      </c>
      <c r="M23" s="79"/>
      <c r="N23" s="79"/>
      <c r="O23" s="75"/>
      <c r="P23" s="79"/>
      <c r="Q23" s="79"/>
      <c r="R23" s="82">
        <v>1117</v>
      </c>
      <c r="S23" s="83">
        <v>1375</v>
      </c>
      <c r="T23" s="96">
        <f t="shared" si="5"/>
        <v>123.09758281110118</v>
      </c>
      <c r="U23" s="75">
        <f t="shared" si="6"/>
        <v>258</v>
      </c>
      <c r="V23" s="79">
        <v>18</v>
      </c>
      <c r="W23" s="73">
        <v>18</v>
      </c>
      <c r="X23" s="97">
        <f t="shared" si="7"/>
        <v>100</v>
      </c>
      <c r="Y23" s="75">
        <f t="shared" si="8"/>
        <v>0</v>
      </c>
      <c r="Z23" s="120">
        <f t="shared" si="13"/>
        <v>6895.061728395061</v>
      </c>
      <c r="AA23" s="120">
        <f t="shared" si="14"/>
        <v>8487.654320987653</v>
      </c>
      <c r="AB23" s="121">
        <f t="shared" si="9"/>
        <v>123.09758281110115</v>
      </c>
      <c r="AC23" s="74">
        <f t="shared" si="10"/>
        <v>1592.5925925925912</v>
      </c>
      <c r="AD23" s="85">
        <f t="shared" si="11"/>
        <v>216.66666666666666</v>
      </c>
      <c r="AE23" s="85">
        <f t="shared" si="12"/>
        <v>211.11111111111111</v>
      </c>
    </row>
    <row r="24" spans="1:31" ht="12.75" customHeight="1">
      <c r="A24" s="72">
        <v>16</v>
      </c>
      <c r="B24" s="72" t="s">
        <v>114</v>
      </c>
      <c r="C24" s="79">
        <v>3961</v>
      </c>
      <c r="D24" s="73">
        <v>3951</v>
      </c>
      <c r="E24" s="95">
        <f t="shared" si="1"/>
        <v>99.7475385003787</v>
      </c>
      <c r="F24" s="75">
        <f t="shared" si="2"/>
        <v>-10</v>
      </c>
      <c r="G24" s="79">
        <v>3961</v>
      </c>
      <c r="H24" s="73">
        <v>3951</v>
      </c>
      <c r="I24" s="75">
        <f t="shared" si="3"/>
        <v>-10</v>
      </c>
      <c r="J24" s="79">
        <v>53040</v>
      </c>
      <c r="K24" s="73">
        <v>56125</v>
      </c>
      <c r="L24" s="75">
        <f t="shared" si="4"/>
        <v>3085</v>
      </c>
      <c r="M24" s="79"/>
      <c r="N24" s="79"/>
      <c r="O24" s="75"/>
      <c r="P24" s="79"/>
      <c r="Q24" s="79"/>
      <c r="R24" s="79">
        <v>3271</v>
      </c>
      <c r="S24" s="73">
        <v>3243</v>
      </c>
      <c r="T24" s="96">
        <f t="shared" si="5"/>
        <v>99.14399266279426</v>
      </c>
      <c r="U24" s="75">
        <f t="shared" si="6"/>
        <v>-28</v>
      </c>
      <c r="V24" s="79">
        <v>46</v>
      </c>
      <c r="W24" s="73">
        <v>44</v>
      </c>
      <c r="X24" s="97">
        <f t="shared" si="7"/>
        <v>95.65217391304348</v>
      </c>
      <c r="Y24" s="75">
        <f t="shared" si="8"/>
        <v>-2</v>
      </c>
      <c r="Z24" s="120">
        <f t="shared" si="13"/>
        <v>7900.966183574878</v>
      </c>
      <c r="AA24" s="120">
        <f t="shared" si="14"/>
        <v>8189.393939393939</v>
      </c>
      <c r="AB24" s="121">
        <f t="shared" si="9"/>
        <v>103.65053778383036</v>
      </c>
      <c r="AC24" s="74">
        <f t="shared" si="10"/>
        <v>288.4277558190606</v>
      </c>
      <c r="AD24" s="85">
        <f t="shared" si="11"/>
        <v>86.1086956521739</v>
      </c>
      <c r="AE24" s="85">
        <f t="shared" si="12"/>
        <v>89.79545454545455</v>
      </c>
    </row>
    <row r="25" spans="1:31" ht="12.75" customHeight="1">
      <c r="A25" s="72">
        <v>17</v>
      </c>
      <c r="B25" s="72" t="s">
        <v>115</v>
      </c>
      <c r="C25" s="79">
        <v>5570</v>
      </c>
      <c r="D25" s="73">
        <v>4132</v>
      </c>
      <c r="E25" s="95">
        <f t="shared" si="1"/>
        <v>74.18312387791741</v>
      </c>
      <c r="F25" s="75">
        <f t="shared" si="2"/>
        <v>-1438</v>
      </c>
      <c r="G25" s="79">
        <v>5570</v>
      </c>
      <c r="H25" s="73">
        <v>4132</v>
      </c>
      <c r="I25" s="75">
        <f t="shared" si="3"/>
        <v>-1438</v>
      </c>
      <c r="J25" s="79"/>
      <c r="K25" s="77"/>
      <c r="L25" s="75">
        <f t="shared" si="4"/>
        <v>0</v>
      </c>
      <c r="M25" s="79"/>
      <c r="N25" s="79"/>
      <c r="O25" s="75"/>
      <c r="P25" s="79"/>
      <c r="Q25" s="79"/>
      <c r="R25" s="79">
        <v>591</v>
      </c>
      <c r="S25" s="73">
        <v>479</v>
      </c>
      <c r="T25" s="96">
        <f t="shared" si="5"/>
        <v>81.04906937394247</v>
      </c>
      <c r="U25" s="75">
        <f t="shared" si="6"/>
        <v>-112</v>
      </c>
      <c r="V25" s="79">
        <v>7</v>
      </c>
      <c r="W25" s="73">
        <v>5</v>
      </c>
      <c r="X25" s="97">
        <f t="shared" si="7"/>
        <v>71.42857142857143</v>
      </c>
      <c r="Y25" s="75">
        <f t="shared" si="8"/>
        <v>-2</v>
      </c>
      <c r="Z25" s="120">
        <f t="shared" si="13"/>
        <v>9380.952380952382</v>
      </c>
      <c r="AA25" s="120">
        <f t="shared" si="14"/>
        <v>10644.444444444443</v>
      </c>
      <c r="AB25" s="121">
        <f t="shared" si="9"/>
        <v>113.46869712351943</v>
      </c>
      <c r="AC25" s="74">
        <f t="shared" si="10"/>
        <v>1263.4920634920618</v>
      </c>
      <c r="AD25" s="85">
        <f t="shared" si="11"/>
        <v>795.7142857142857</v>
      </c>
      <c r="AE25" s="85">
        <f t="shared" si="12"/>
        <v>826.4</v>
      </c>
    </row>
    <row r="26" spans="1:31" ht="12.75" customHeight="1">
      <c r="A26" s="72">
        <v>18</v>
      </c>
      <c r="B26" s="72" t="s">
        <v>116</v>
      </c>
      <c r="C26" s="79">
        <v>12345</v>
      </c>
      <c r="D26" s="73">
        <v>19354</v>
      </c>
      <c r="E26" s="95">
        <f t="shared" si="1"/>
        <v>156.77602268124747</v>
      </c>
      <c r="F26" s="75">
        <f t="shared" si="2"/>
        <v>7009</v>
      </c>
      <c r="G26" s="79">
        <v>13740</v>
      </c>
      <c r="H26" s="73">
        <v>17463</v>
      </c>
      <c r="I26" s="75">
        <f t="shared" si="3"/>
        <v>3723</v>
      </c>
      <c r="J26" s="79"/>
      <c r="K26" s="77"/>
      <c r="L26" s="75">
        <f t="shared" si="4"/>
        <v>0</v>
      </c>
      <c r="M26" s="79"/>
      <c r="N26" s="79"/>
      <c r="O26" s="75"/>
      <c r="P26" s="79"/>
      <c r="Q26" s="79"/>
      <c r="R26" s="79">
        <v>3452</v>
      </c>
      <c r="S26" s="73">
        <v>4464</v>
      </c>
      <c r="T26" s="96">
        <f t="shared" si="5"/>
        <v>129.31633835457706</v>
      </c>
      <c r="U26" s="75">
        <f t="shared" si="6"/>
        <v>1012</v>
      </c>
      <c r="V26" s="79">
        <v>31</v>
      </c>
      <c r="W26" s="73">
        <v>42</v>
      </c>
      <c r="X26" s="97">
        <f t="shared" si="7"/>
        <v>135.48387096774192</v>
      </c>
      <c r="Y26" s="75">
        <f t="shared" si="8"/>
        <v>11</v>
      </c>
      <c r="Z26" s="120">
        <f t="shared" si="13"/>
        <v>12372.759856630826</v>
      </c>
      <c r="AA26" s="120">
        <f t="shared" si="14"/>
        <v>11809.523809523811</v>
      </c>
      <c r="AB26" s="121">
        <f t="shared" si="9"/>
        <v>95.44777354742592</v>
      </c>
      <c r="AC26" s="74">
        <f t="shared" si="10"/>
        <v>-563.2360471070151</v>
      </c>
      <c r="AD26" s="85">
        <f t="shared" si="11"/>
        <v>398.2258064516129</v>
      </c>
      <c r="AE26" s="85">
        <f t="shared" si="12"/>
        <v>460.8095238095238</v>
      </c>
    </row>
    <row r="27" spans="1:31" ht="12.75" customHeight="1">
      <c r="A27" s="72">
        <v>19</v>
      </c>
      <c r="B27" s="72" t="s">
        <v>117</v>
      </c>
      <c r="C27" s="79">
        <v>5839</v>
      </c>
      <c r="D27" s="73">
        <v>6431</v>
      </c>
      <c r="E27" s="95">
        <f t="shared" si="1"/>
        <v>110.13872238396986</v>
      </c>
      <c r="F27" s="75">
        <f t="shared" si="2"/>
        <v>592</v>
      </c>
      <c r="G27" s="79">
        <v>5839</v>
      </c>
      <c r="H27" s="73">
        <v>6431</v>
      </c>
      <c r="I27" s="75">
        <f t="shared" si="3"/>
        <v>592</v>
      </c>
      <c r="J27" s="79"/>
      <c r="K27" s="77"/>
      <c r="L27" s="75">
        <f t="shared" si="4"/>
        <v>0</v>
      </c>
      <c r="M27" s="79"/>
      <c r="N27" s="79"/>
      <c r="O27" s="75"/>
      <c r="P27" s="79"/>
      <c r="Q27" s="79"/>
      <c r="R27" s="79">
        <v>2358</v>
      </c>
      <c r="S27" s="73">
        <v>2570</v>
      </c>
      <c r="T27" s="96">
        <f t="shared" si="5"/>
        <v>108.99067005937235</v>
      </c>
      <c r="U27" s="75">
        <f t="shared" si="6"/>
        <v>212</v>
      </c>
      <c r="V27" s="79">
        <v>31</v>
      </c>
      <c r="W27" s="73">
        <v>33</v>
      </c>
      <c r="X27" s="97">
        <f t="shared" si="7"/>
        <v>106.4516129032258</v>
      </c>
      <c r="Y27" s="75">
        <f t="shared" si="8"/>
        <v>2</v>
      </c>
      <c r="Z27" s="120">
        <f t="shared" si="13"/>
        <v>8451.612903225807</v>
      </c>
      <c r="AA27" s="120">
        <f t="shared" si="14"/>
        <v>8653.198653198653</v>
      </c>
      <c r="AB27" s="121">
        <f t="shared" si="9"/>
        <v>102.38517490425888</v>
      </c>
      <c r="AC27" s="74">
        <f t="shared" si="10"/>
        <v>201.58574997284632</v>
      </c>
      <c r="AD27" s="85">
        <f t="shared" si="11"/>
        <v>188.3548387096774</v>
      </c>
      <c r="AE27" s="85">
        <f t="shared" si="12"/>
        <v>194.87878787878788</v>
      </c>
    </row>
    <row r="28" spans="1:31" ht="12.75" customHeight="1">
      <c r="A28" s="72">
        <v>20</v>
      </c>
      <c r="B28" s="72" t="s">
        <v>118</v>
      </c>
      <c r="C28" s="79">
        <v>1143</v>
      </c>
      <c r="D28" s="73">
        <v>1017</v>
      </c>
      <c r="E28" s="95">
        <f t="shared" si="1"/>
        <v>88.9763779527559</v>
      </c>
      <c r="F28" s="75">
        <f t="shared" si="2"/>
        <v>-126</v>
      </c>
      <c r="G28" s="79">
        <v>433</v>
      </c>
      <c r="H28" s="73">
        <v>1115</v>
      </c>
      <c r="I28" s="75">
        <f t="shared" si="3"/>
        <v>682</v>
      </c>
      <c r="J28" s="79"/>
      <c r="K28" s="77"/>
      <c r="L28" s="75">
        <f t="shared" si="4"/>
        <v>0</v>
      </c>
      <c r="M28" s="79"/>
      <c r="N28" s="79"/>
      <c r="O28" s="75"/>
      <c r="P28" s="79"/>
      <c r="Q28" s="79"/>
      <c r="R28" s="79">
        <v>278</v>
      </c>
      <c r="S28" s="73">
        <v>394</v>
      </c>
      <c r="T28" s="96">
        <f t="shared" si="5"/>
        <v>141.72661870503597</v>
      </c>
      <c r="U28" s="75">
        <f t="shared" si="6"/>
        <v>116</v>
      </c>
      <c r="V28" s="79">
        <v>5</v>
      </c>
      <c r="W28" s="73">
        <v>8</v>
      </c>
      <c r="X28" s="97">
        <f t="shared" si="7"/>
        <v>160</v>
      </c>
      <c r="Y28" s="75">
        <f t="shared" si="8"/>
        <v>3</v>
      </c>
      <c r="Z28" s="120">
        <f t="shared" si="13"/>
        <v>6177.777777777778</v>
      </c>
      <c r="AA28" s="120">
        <f t="shared" si="14"/>
        <v>5472.222222222223</v>
      </c>
      <c r="AB28" s="121">
        <f t="shared" si="9"/>
        <v>88.57913669064749</v>
      </c>
      <c r="AC28" s="74">
        <f t="shared" si="10"/>
        <v>-705.5555555555557</v>
      </c>
      <c r="AD28" s="85">
        <f t="shared" si="11"/>
        <v>228.6</v>
      </c>
      <c r="AE28" s="85">
        <f t="shared" si="12"/>
        <v>127.125</v>
      </c>
    </row>
    <row r="29" spans="1:31" ht="12.75" customHeight="1">
      <c r="A29" s="141" t="s">
        <v>119</v>
      </c>
      <c r="B29" s="141"/>
      <c r="C29" s="78">
        <f>SUM(C9:C28)</f>
        <v>1175688</v>
      </c>
      <c r="D29" s="78">
        <f>SUM(D9:D28)</f>
        <v>1308337</v>
      </c>
      <c r="E29" s="95">
        <f t="shared" si="1"/>
        <v>111.28267023223847</v>
      </c>
      <c r="F29" s="75">
        <f t="shared" si="2"/>
        <v>132649</v>
      </c>
      <c r="G29" s="78">
        <f>SUM(G9:G28)</f>
        <v>1014468</v>
      </c>
      <c r="H29" s="78">
        <f>SUM(H9:H28)</f>
        <v>1295667</v>
      </c>
      <c r="I29" s="74">
        <f t="shared" si="3"/>
        <v>281199</v>
      </c>
      <c r="J29" s="78">
        <f>SUM(J9:J28)</f>
        <v>95630</v>
      </c>
      <c r="K29" s="78">
        <f>SUM(K9:K28)</f>
        <v>86720</v>
      </c>
      <c r="L29" s="74">
        <f t="shared" si="4"/>
        <v>-8910</v>
      </c>
      <c r="M29" s="78">
        <f>SUM(M9:M22)</f>
        <v>0</v>
      </c>
      <c r="N29" s="78">
        <f>SUM(N9:N22)</f>
        <v>0</v>
      </c>
      <c r="O29" s="85">
        <f>N29-M29</f>
        <v>0</v>
      </c>
      <c r="P29" s="78">
        <f>SUM(P9:P22)</f>
        <v>0</v>
      </c>
      <c r="Q29" s="78">
        <f>SUM(Q9:Q22)</f>
        <v>0</v>
      </c>
      <c r="R29" s="78">
        <f>SUM(R9:R28)</f>
        <v>85214</v>
      </c>
      <c r="S29" s="78">
        <f>SUM(S9:S28)</f>
        <v>84066</v>
      </c>
      <c r="T29" s="96">
        <f t="shared" si="5"/>
        <v>98.65280352993639</v>
      </c>
      <c r="U29" s="74">
        <f t="shared" si="6"/>
        <v>-1148</v>
      </c>
      <c r="V29" s="86">
        <f>SUM(V9:V28)</f>
        <v>762</v>
      </c>
      <c r="W29" s="86">
        <f>SUM(W9:W28)</f>
        <v>641</v>
      </c>
      <c r="X29" s="97">
        <f t="shared" si="7"/>
        <v>84.12073490813648</v>
      </c>
      <c r="Y29" s="74">
        <f t="shared" si="8"/>
        <v>-121</v>
      </c>
      <c r="Z29" s="120">
        <f t="shared" si="13"/>
        <v>12425.488480606591</v>
      </c>
      <c r="AA29" s="120">
        <f t="shared" si="14"/>
        <v>14572.022880915236</v>
      </c>
      <c r="AB29" s="121">
        <f t="shared" si="9"/>
        <v>117.27525162217087</v>
      </c>
      <c r="AC29" s="74">
        <f>AA29-Z29</f>
        <v>2146.5344003086448</v>
      </c>
      <c r="AD29" s="85">
        <f t="shared" si="11"/>
        <v>1542.8976377952756</v>
      </c>
      <c r="AE29" s="85">
        <f t="shared" si="12"/>
        <v>2041.0873634945399</v>
      </c>
    </row>
    <row r="30" spans="1:36" ht="12.75" customHeight="1">
      <c r="A30" s="90"/>
      <c r="B30" s="90"/>
      <c r="C30" s="87"/>
      <c r="D30" s="87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91"/>
      <c r="AE30" s="92"/>
      <c r="AF30" s="92"/>
      <c r="AG30" s="92"/>
      <c r="AH30" s="92"/>
      <c r="AI30" s="92"/>
      <c r="AJ30" s="92"/>
    </row>
    <row r="31" spans="1:30" ht="12.75" customHeight="1">
      <c r="A31" s="64"/>
      <c r="B31" s="64"/>
      <c r="C31" s="64"/>
      <c r="D31" s="64"/>
      <c r="E31" s="64"/>
      <c r="F31" s="64"/>
      <c r="G31" s="64"/>
      <c r="H31" s="64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2.75" customHeight="1">
      <c r="A32" s="94"/>
      <c r="B32" s="9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</sheetData>
  <sheetProtection/>
  <mergeCells count="14">
    <mergeCell ref="A29:B29"/>
    <mergeCell ref="E30:AC30"/>
    <mergeCell ref="C7:F7"/>
    <mergeCell ref="A5:AC5"/>
    <mergeCell ref="A7:A8"/>
    <mergeCell ref="B7:B8"/>
    <mergeCell ref="G7:I7"/>
    <mergeCell ref="J7:L7"/>
    <mergeCell ref="M7:O7"/>
    <mergeCell ref="P7:Q7"/>
    <mergeCell ref="R7:U7"/>
    <mergeCell ref="V7:Y7"/>
    <mergeCell ref="AD7:AE7"/>
    <mergeCell ref="Z7:AC7"/>
  </mergeCells>
  <printOptions/>
  <pageMargins left="0.1968503937007874" right="0.1968503937007874" top="0.3937007874015748" bottom="0.3937007874015748" header="0" footer="0"/>
  <pageSetup fitToHeight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69.140625" style="58" customWidth="1"/>
    <col min="2" max="3" width="11.28125" style="58" customWidth="1"/>
    <col min="4" max="4" width="9.00390625" style="58" bestFit="1" customWidth="1"/>
    <col min="5" max="16384" width="9.140625" style="58" customWidth="1"/>
  </cols>
  <sheetData>
    <row r="1" spans="1:3" ht="12.75" customHeight="1">
      <c r="A1" s="146"/>
      <c r="B1" s="146"/>
      <c r="C1" s="146"/>
    </row>
    <row r="2" spans="1:5" ht="12.75">
      <c r="A2" s="147" t="s">
        <v>81</v>
      </c>
      <c r="B2" s="147"/>
      <c r="C2" s="147"/>
      <c r="D2" s="147"/>
      <c r="E2" s="147"/>
    </row>
    <row r="4" spans="1:5" s="59" customFormat="1" ht="18" customHeight="1">
      <c r="A4" s="144" t="s">
        <v>7</v>
      </c>
      <c r="B4" s="148" t="s">
        <v>73</v>
      </c>
      <c r="C4" s="149"/>
      <c r="D4" s="150" t="s">
        <v>74</v>
      </c>
      <c r="E4" s="151" t="s">
        <v>58</v>
      </c>
    </row>
    <row r="5" spans="1:5" s="59" customFormat="1" ht="39" customHeight="1">
      <c r="A5" s="145"/>
      <c r="B5" s="10" t="s">
        <v>75</v>
      </c>
      <c r="C5" s="10" t="s">
        <v>76</v>
      </c>
      <c r="D5" s="150"/>
      <c r="E5" s="151"/>
    </row>
    <row r="6" spans="1:5" s="59" customFormat="1" ht="27" customHeight="1">
      <c r="A6" s="12" t="s">
        <v>5</v>
      </c>
      <c r="B6" s="4">
        <f>'[1]Общ'!C270</f>
        <v>1037058</v>
      </c>
      <c r="C6" s="4">
        <f>'[1]Общ'!D270</f>
        <v>1192372</v>
      </c>
      <c r="D6" s="60">
        <f>C6/B6*100</f>
        <v>114.97640440553951</v>
      </c>
      <c r="E6" s="61">
        <f>C6-B6</f>
        <v>155314</v>
      </c>
    </row>
    <row r="7" spans="1:5" s="59" customFormat="1" ht="27" customHeight="1">
      <c r="A7" s="12" t="s">
        <v>8</v>
      </c>
      <c r="B7" s="4">
        <f>'[1]Общ'!C265</f>
        <v>847063</v>
      </c>
      <c r="C7" s="4">
        <f>'[1]Общ'!D265</f>
        <v>928742</v>
      </c>
      <c r="D7" s="60">
        <f aca="true" t="shared" si="0" ref="D7:D20">C7/B7*100</f>
        <v>109.64261217878718</v>
      </c>
      <c r="E7" s="61">
        <f aca="true" t="shared" si="1" ref="E7:E20">C7-B7</f>
        <v>81679</v>
      </c>
    </row>
    <row r="8" spans="1:5" s="59" customFormat="1" ht="27" customHeight="1">
      <c r="A8" s="12" t="s">
        <v>77</v>
      </c>
      <c r="B8" s="29">
        <f>7625.7+1325.9+7839.8+18470+8763.7+1571+8283.6+2222.5+7843.9+1327.7+7220+2389.2+6509.2+1811.6+5939.5+1551.5+5914.9+1164.8</f>
        <v>97774.5</v>
      </c>
      <c r="C8" s="29">
        <f>9473.8+901.3+8997+1369.6+9486.2+1260.5+9092.8+1038+8590.2+2983.8+7716.3+3656.4+6675.3+589.7+6768.4+1397.5+6919.4+546.6</f>
        <v>87462.79999999999</v>
      </c>
      <c r="D8" s="60">
        <f t="shared" si="0"/>
        <v>89.45358963737988</v>
      </c>
      <c r="E8" s="61">
        <f t="shared" si="1"/>
        <v>-10311.700000000012</v>
      </c>
    </row>
    <row r="9" spans="1:5" s="59" customFormat="1" ht="27" customHeight="1">
      <c r="A9" s="12" t="s">
        <v>9</v>
      </c>
      <c r="B9" s="4">
        <v>21622</v>
      </c>
      <c r="C9" s="4">
        <v>14236</v>
      </c>
      <c r="D9" s="60">
        <f t="shared" si="0"/>
        <v>65.84034779391361</v>
      </c>
      <c r="E9" s="61">
        <f t="shared" si="1"/>
        <v>-7386</v>
      </c>
    </row>
    <row r="10" spans="1:5" s="59" customFormat="1" ht="27" customHeight="1">
      <c r="A10" s="12" t="s">
        <v>10</v>
      </c>
      <c r="B10" s="4">
        <v>83871</v>
      </c>
      <c r="C10" s="4">
        <v>108385</v>
      </c>
      <c r="D10" s="60">
        <f t="shared" si="0"/>
        <v>129.22821952760788</v>
      </c>
      <c r="E10" s="61">
        <f t="shared" si="1"/>
        <v>24514</v>
      </c>
    </row>
    <row r="11" spans="1:5" s="59" customFormat="1" ht="27" customHeight="1">
      <c r="A11" s="12" t="s">
        <v>11</v>
      </c>
      <c r="B11" s="29">
        <f>2025*17*9</f>
        <v>309825</v>
      </c>
      <c r="C11" s="29">
        <f>2059*17*9</f>
        <v>315027</v>
      </c>
      <c r="D11" s="60">
        <f t="shared" si="0"/>
        <v>101.67901234567903</v>
      </c>
      <c r="E11" s="61">
        <f t="shared" si="1"/>
        <v>5202</v>
      </c>
    </row>
    <row r="12" spans="1:5" s="59" customFormat="1" ht="27" customHeight="1">
      <c r="A12" s="12" t="s">
        <v>78</v>
      </c>
      <c r="B12" s="29">
        <f>900*9*9</f>
        <v>72900</v>
      </c>
      <c r="C12" s="29">
        <f>885*10*9</f>
        <v>79650</v>
      </c>
      <c r="D12" s="60">
        <f t="shared" si="0"/>
        <v>109.25925925925925</v>
      </c>
      <c r="E12" s="61">
        <f t="shared" si="1"/>
        <v>6750</v>
      </c>
    </row>
    <row r="13" spans="1:5" s="59" customFormat="1" ht="27" customHeight="1">
      <c r="A13" s="12" t="s">
        <v>12</v>
      </c>
      <c r="B13" s="4">
        <f>2500*13.85*9</f>
        <v>311625</v>
      </c>
      <c r="C13" s="61">
        <f>2500*17.02*9</f>
        <v>382950</v>
      </c>
      <c r="D13" s="60">
        <f t="shared" si="0"/>
        <v>122.88808664259928</v>
      </c>
      <c r="E13" s="61">
        <f t="shared" si="1"/>
        <v>71325</v>
      </c>
    </row>
    <row r="14" spans="1:5" s="59" customFormat="1" ht="27" customHeight="1">
      <c r="A14" s="12" t="s">
        <v>13</v>
      </c>
      <c r="B14" s="29">
        <f>915.8*100*9</f>
        <v>824220</v>
      </c>
      <c r="C14" s="62">
        <f>968.82*100*9</f>
        <v>871938</v>
      </c>
      <c r="D14" s="60">
        <f t="shared" si="0"/>
        <v>105.78947368421052</v>
      </c>
      <c r="E14" s="61">
        <f t="shared" si="1"/>
        <v>47718</v>
      </c>
    </row>
    <row r="15" spans="1:5" s="59" customFormat="1" ht="27" customHeight="1">
      <c r="A15" s="12" t="s">
        <v>14</v>
      </c>
      <c r="B15" s="29">
        <v>92160</v>
      </c>
      <c r="C15" s="29">
        <f>16000*9*720/1000</f>
        <v>103680</v>
      </c>
      <c r="D15" s="60">
        <f t="shared" si="0"/>
        <v>112.5</v>
      </c>
      <c r="E15" s="61">
        <f t="shared" si="1"/>
        <v>11520</v>
      </c>
    </row>
    <row r="16" spans="1:5" s="59" customFormat="1" ht="27" customHeight="1">
      <c r="A16" s="12" t="s">
        <v>15</v>
      </c>
      <c r="B16" s="4">
        <v>438398</v>
      </c>
      <c r="C16" s="4">
        <v>427520</v>
      </c>
      <c r="D16" s="60">
        <f t="shared" si="0"/>
        <v>97.5186930597311</v>
      </c>
      <c r="E16" s="61">
        <f t="shared" si="1"/>
        <v>-10878</v>
      </c>
    </row>
    <row r="17" spans="1:5" s="59" customFormat="1" ht="27" customHeight="1">
      <c r="A17" s="12" t="s">
        <v>16</v>
      </c>
      <c r="B17" s="4">
        <v>7052</v>
      </c>
      <c r="C17" s="4">
        <v>6473</v>
      </c>
      <c r="D17" s="60">
        <f t="shared" si="0"/>
        <v>91.78956324446965</v>
      </c>
      <c r="E17" s="61">
        <f t="shared" si="1"/>
        <v>-579</v>
      </c>
    </row>
    <row r="18" spans="1:5" s="59" customFormat="1" ht="27" customHeight="1">
      <c r="A18" s="12" t="s">
        <v>17</v>
      </c>
      <c r="B18" s="4">
        <f>SUM(B6:B17)</f>
        <v>4143568.5</v>
      </c>
      <c r="C18" s="4">
        <f>SUM(C6:C17)</f>
        <v>4518435.8</v>
      </c>
      <c r="D18" s="60">
        <f t="shared" si="0"/>
        <v>109.04696760775164</v>
      </c>
      <c r="E18" s="61">
        <f t="shared" si="1"/>
        <v>374867.2999999998</v>
      </c>
    </row>
    <row r="19" spans="1:5" s="59" customFormat="1" ht="27" customHeight="1">
      <c r="A19" s="12" t="s">
        <v>18</v>
      </c>
      <c r="B19" s="29">
        <v>34865</v>
      </c>
      <c r="C19" s="29">
        <v>34825</v>
      </c>
      <c r="D19" s="60">
        <f t="shared" si="0"/>
        <v>99.88527176251255</v>
      </c>
      <c r="E19" s="61">
        <f t="shared" si="1"/>
        <v>-40</v>
      </c>
    </row>
    <row r="20" spans="1:5" s="59" customFormat="1" ht="27" customHeight="1">
      <c r="A20" s="12" t="s">
        <v>79</v>
      </c>
      <c r="B20" s="4">
        <f>B18/B19/9*1000</f>
        <v>13205.119747597877</v>
      </c>
      <c r="C20" s="4">
        <f>C18/C19/9*1000</f>
        <v>14416.322246151392</v>
      </c>
      <c r="D20" s="60">
        <f t="shared" si="0"/>
        <v>109.17221897040233</v>
      </c>
      <c r="E20" s="61">
        <f t="shared" si="1"/>
        <v>1211.2024985535154</v>
      </c>
    </row>
  </sheetData>
  <sheetProtection/>
  <mergeCells count="6">
    <mergeCell ref="A1:C1"/>
    <mergeCell ref="A2:E2"/>
    <mergeCell ref="A4:A5"/>
    <mergeCell ref="B4:C4"/>
    <mergeCell ref="D4:D5"/>
    <mergeCell ref="E4:E5"/>
  </mergeCells>
  <printOptions/>
  <pageMargins left="0.7874015748031497" right="0.1968503937007874" top="0.3937007874015748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41.421875" style="2" customWidth="1"/>
    <col min="2" max="3" width="10.28125" style="2" customWidth="1"/>
    <col min="4" max="4" width="9.421875" style="2" customWidth="1"/>
    <col min="5" max="6" width="8.8515625" style="27" customWidth="1"/>
    <col min="7" max="9" width="10.28125" style="27" customWidth="1"/>
    <col min="10" max="11" width="8.421875" style="2" customWidth="1"/>
    <col min="12" max="16384" width="9.140625" style="2" customWidth="1"/>
  </cols>
  <sheetData>
    <row r="1" ht="22.5" customHeight="1"/>
    <row r="2" ht="12.75" customHeight="1">
      <c r="A2" s="7"/>
    </row>
    <row r="3" spans="1:11" ht="12.75">
      <c r="A3" s="146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5" spans="1:11" s="27" customFormat="1" ht="18" customHeight="1">
      <c r="A5" s="144" t="s">
        <v>7</v>
      </c>
      <c r="B5" s="151" t="s">
        <v>48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1:11" s="27" customFormat="1" ht="63.75" customHeight="1">
      <c r="A6" s="145"/>
      <c r="B6" s="19" t="s">
        <v>1</v>
      </c>
      <c r="C6" s="19" t="s">
        <v>59</v>
      </c>
      <c r="D6" s="8" t="s">
        <v>55</v>
      </c>
      <c r="E6" s="8" t="s">
        <v>60</v>
      </c>
      <c r="F6" s="11" t="s">
        <v>61</v>
      </c>
      <c r="G6" s="8" t="s">
        <v>50</v>
      </c>
      <c r="H6" s="8" t="s">
        <v>51</v>
      </c>
      <c r="I6" s="8" t="s">
        <v>56</v>
      </c>
      <c r="J6" s="8" t="s">
        <v>62</v>
      </c>
      <c r="K6" s="11" t="s">
        <v>63</v>
      </c>
    </row>
    <row r="7" spans="1:11" s="27" customFormat="1" ht="20.25" customHeight="1">
      <c r="A7" s="12" t="s">
        <v>5</v>
      </c>
      <c r="B7" s="32">
        <v>1554.403</v>
      </c>
      <c r="C7" s="31">
        <f>'по Сессии прогноз'!C17/1000</f>
        <v>1650.65</v>
      </c>
      <c r="D7" s="31">
        <f>'по Сессии прогноз'!D17/1000</f>
        <v>1690</v>
      </c>
      <c r="E7" s="31">
        <f>D7/B7*100</f>
        <v>108.7234134262479</v>
      </c>
      <c r="F7" s="31">
        <f>D7/C7*100</f>
        <v>102.38390936903643</v>
      </c>
      <c r="G7" s="31">
        <f>'по Сессии прогноз'!G17/1000</f>
        <v>1770</v>
      </c>
      <c r="H7" s="31">
        <f>'по Сессии прогноз'!H17/1000</f>
        <v>1880</v>
      </c>
      <c r="I7" s="31">
        <f>'по Сессии прогноз'!I17/1000</f>
        <v>1990</v>
      </c>
      <c r="J7" s="22">
        <f>G7/D7*100</f>
        <v>104.73372781065089</v>
      </c>
      <c r="K7" s="22">
        <f>I7/D7*100</f>
        <v>117.75147928994083</v>
      </c>
    </row>
    <row r="8" spans="1:11" s="27" customFormat="1" ht="20.25" customHeight="1">
      <c r="A8" s="12" t="s">
        <v>8</v>
      </c>
      <c r="B8" s="32">
        <v>1135.7</v>
      </c>
      <c r="C8" s="31">
        <v>1300</v>
      </c>
      <c r="D8" s="31">
        <v>1263</v>
      </c>
      <c r="E8" s="31">
        <f aca="true" t="shared" si="0" ref="E8:E20">D8/B8*100</f>
        <v>111.20894602447828</v>
      </c>
      <c r="F8" s="31">
        <f aca="true" t="shared" si="1" ref="F8:F20">D8/C8*100</f>
        <v>97.15384615384616</v>
      </c>
      <c r="G8" s="31">
        <v>1320</v>
      </c>
      <c r="H8" s="31">
        <v>1375</v>
      </c>
      <c r="I8" s="31">
        <v>1410</v>
      </c>
      <c r="J8" s="22">
        <f aca="true" t="shared" si="2" ref="J8:J20">G8/D8*100</f>
        <v>104.51306413301663</v>
      </c>
      <c r="K8" s="22">
        <f aca="true" t="shared" si="3" ref="K8:K20">I8/D8*100</f>
        <v>111.63895486935867</v>
      </c>
    </row>
    <row r="9" spans="1:11" s="27" customFormat="1" ht="20.25" customHeight="1">
      <c r="A9" s="12" t="s">
        <v>47</v>
      </c>
      <c r="B9" s="32">
        <v>137.6</v>
      </c>
      <c r="C9" s="31">
        <v>150</v>
      </c>
      <c r="D9" s="31">
        <v>120</v>
      </c>
      <c r="E9" s="31">
        <f t="shared" si="0"/>
        <v>87.20930232558139</v>
      </c>
      <c r="F9" s="31">
        <f t="shared" si="1"/>
        <v>80</v>
      </c>
      <c r="G9" s="31">
        <v>131</v>
      </c>
      <c r="H9" s="31">
        <v>140</v>
      </c>
      <c r="I9" s="31">
        <v>147</v>
      </c>
      <c r="J9" s="22">
        <f t="shared" si="2"/>
        <v>109.16666666666666</v>
      </c>
      <c r="K9" s="22">
        <f t="shared" si="3"/>
        <v>122.50000000000001</v>
      </c>
    </row>
    <row r="10" spans="1:11" s="27" customFormat="1" ht="20.25" customHeight="1">
      <c r="A10" s="12" t="s">
        <v>9</v>
      </c>
      <c r="B10" s="32">
        <v>21.622</v>
      </c>
      <c r="C10" s="31">
        <v>20</v>
      </c>
      <c r="D10" s="31">
        <v>15.558</v>
      </c>
      <c r="E10" s="31">
        <f t="shared" si="0"/>
        <v>71.95449079641106</v>
      </c>
      <c r="F10" s="31">
        <f t="shared" si="1"/>
        <v>77.79</v>
      </c>
      <c r="G10" s="31">
        <v>15</v>
      </c>
      <c r="H10" s="31">
        <v>17</v>
      </c>
      <c r="I10" s="31">
        <v>18</v>
      </c>
      <c r="J10" s="22">
        <f t="shared" si="2"/>
        <v>96.41342074816815</v>
      </c>
      <c r="K10" s="22">
        <f t="shared" si="3"/>
        <v>115.69610489780177</v>
      </c>
    </row>
    <row r="11" spans="1:11" s="27" customFormat="1" ht="20.25" customHeight="1">
      <c r="A11" s="12" t="s">
        <v>10</v>
      </c>
      <c r="B11" s="32">
        <v>109.954</v>
      </c>
      <c r="C11" s="31">
        <v>180</v>
      </c>
      <c r="D11" s="31">
        <v>167</v>
      </c>
      <c r="E11" s="31">
        <f t="shared" si="0"/>
        <v>151.8816959819561</v>
      </c>
      <c r="F11" s="31">
        <f t="shared" si="1"/>
        <v>92.77777777777779</v>
      </c>
      <c r="G11" s="31">
        <v>175</v>
      </c>
      <c r="H11" s="31">
        <v>180</v>
      </c>
      <c r="I11" s="31">
        <f>H11*1.1</f>
        <v>198.00000000000003</v>
      </c>
      <c r="J11" s="22">
        <f t="shared" si="2"/>
        <v>104.79041916167664</v>
      </c>
      <c r="K11" s="22">
        <f t="shared" si="3"/>
        <v>118.56287425149704</v>
      </c>
    </row>
    <row r="12" spans="1:11" s="27" customFormat="1" ht="27.75" customHeight="1">
      <c r="A12" s="12" t="s">
        <v>11</v>
      </c>
      <c r="B12" s="32">
        <v>510.3</v>
      </c>
      <c r="C12" s="31">
        <v>520</v>
      </c>
      <c r="D12" s="31">
        <v>526</v>
      </c>
      <c r="E12" s="31">
        <f t="shared" si="0"/>
        <v>103.07662159514011</v>
      </c>
      <c r="F12" s="31">
        <f t="shared" si="1"/>
        <v>101.15384615384615</v>
      </c>
      <c r="G12" s="31">
        <v>538</v>
      </c>
      <c r="H12" s="31">
        <v>549</v>
      </c>
      <c r="I12" s="31">
        <v>563</v>
      </c>
      <c r="J12" s="22">
        <f t="shared" si="2"/>
        <v>102.28136882129277</v>
      </c>
      <c r="K12" s="22">
        <f t="shared" si="3"/>
        <v>107.0342205323194</v>
      </c>
    </row>
    <row r="13" spans="1:11" s="27" customFormat="1" ht="20.25" customHeight="1">
      <c r="A13" s="12" t="s">
        <v>12</v>
      </c>
      <c r="B13" s="32">
        <v>449.4</v>
      </c>
      <c r="C13" s="31">
        <v>490</v>
      </c>
      <c r="D13" s="31">
        <v>527</v>
      </c>
      <c r="E13" s="31">
        <f t="shared" si="0"/>
        <v>117.26746773475747</v>
      </c>
      <c r="F13" s="31">
        <f t="shared" si="1"/>
        <v>107.55102040816327</v>
      </c>
      <c r="G13" s="31">
        <v>545</v>
      </c>
      <c r="H13" s="31">
        <v>558</v>
      </c>
      <c r="I13" s="31">
        <v>567</v>
      </c>
      <c r="J13" s="22">
        <f t="shared" si="2"/>
        <v>103.41555977229602</v>
      </c>
      <c r="K13" s="22">
        <f t="shared" si="3"/>
        <v>107.59013282732448</v>
      </c>
    </row>
    <row r="14" spans="1:11" s="27" customFormat="1" ht="20.25" customHeight="1">
      <c r="A14" s="12" t="s">
        <v>13</v>
      </c>
      <c r="B14" s="32">
        <v>1162.584</v>
      </c>
      <c r="C14" s="31">
        <v>610</v>
      </c>
      <c r="D14" s="31">
        <v>1169</v>
      </c>
      <c r="E14" s="31">
        <f t="shared" si="0"/>
        <v>100.55187410114021</v>
      </c>
      <c r="F14" s="31">
        <f t="shared" si="1"/>
        <v>191.63934426229508</v>
      </c>
      <c r="G14" s="31">
        <v>1175</v>
      </c>
      <c r="H14" s="31">
        <v>1180</v>
      </c>
      <c r="I14" s="31">
        <v>1189</v>
      </c>
      <c r="J14" s="22">
        <f t="shared" si="2"/>
        <v>100.51325919589394</v>
      </c>
      <c r="K14" s="22">
        <f t="shared" si="3"/>
        <v>101.71086398631309</v>
      </c>
    </row>
    <row r="15" spans="1:11" s="27" customFormat="1" ht="20.25" customHeight="1">
      <c r="A15" s="12" t="s">
        <v>14</v>
      </c>
      <c r="B15" s="32">
        <v>92.16</v>
      </c>
      <c r="C15" s="31">
        <v>100</v>
      </c>
      <c r="D15" s="31">
        <v>104</v>
      </c>
      <c r="E15" s="31">
        <f t="shared" si="0"/>
        <v>112.84722222222223</v>
      </c>
      <c r="F15" s="31">
        <f t="shared" si="1"/>
        <v>104</v>
      </c>
      <c r="G15" s="31">
        <v>109</v>
      </c>
      <c r="H15" s="31">
        <v>112</v>
      </c>
      <c r="I15" s="31">
        <v>114</v>
      </c>
      <c r="J15" s="22">
        <f t="shared" si="2"/>
        <v>104.8076923076923</v>
      </c>
      <c r="K15" s="22">
        <f t="shared" si="3"/>
        <v>109.61538461538463</v>
      </c>
    </row>
    <row r="16" spans="1:11" s="27" customFormat="1" ht="20.25" customHeight="1">
      <c r="A16" s="12" t="s">
        <v>15</v>
      </c>
      <c r="B16" s="32">
        <v>581.484</v>
      </c>
      <c r="C16" s="31">
        <v>450</v>
      </c>
      <c r="D16" s="31">
        <v>440</v>
      </c>
      <c r="E16" s="31">
        <f t="shared" si="0"/>
        <v>75.66846207290313</v>
      </c>
      <c r="F16" s="31">
        <f t="shared" si="1"/>
        <v>97.77777777777777</v>
      </c>
      <c r="G16" s="31">
        <v>470</v>
      </c>
      <c r="H16" s="31">
        <v>480</v>
      </c>
      <c r="I16" s="31">
        <v>490</v>
      </c>
      <c r="J16" s="22">
        <f t="shared" si="2"/>
        <v>106.81818181818181</v>
      </c>
      <c r="K16" s="22">
        <f t="shared" si="3"/>
        <v>111.36363636363636</v>
      </c>
    </row>
    <row r="17" spans="1:11" s="27" customFormat="1" ht="20.25" customHeight="1">
      <c r="A17" s="12" t="s">
        <v>16</v>
      </c>
      <c r="B17" s="32">
        <v>8.273</v>
      </c>
      <c r="C17" s="31">
        <v>7.7</v>
      </c>
      <c r="D17" s="31">
        <v>8</v>
      </c>
      <c r="E17" s="31">
        <f t="shared" si="0"/>
        <v>96.70010878762238</v>
      </c>
      <c r="F17" s="31">
        <f t="shared" si="1"/>
        <v>103.89610389610388</v>
      </c>
      <c r="G17" s="31">
        <v>8</v>
      </c>
      <c r="H17" s="31">
        <v>8.3</v>
      </c>
      <c r="I17" s="31">
        <v>8.7</v>
      </c>
      <c r="J17" s="22">
        <f t="shared" si="2"/>
        <v>100</v>
      </c>
      <c r="K17" s="22">
        <f t="shared" si="3"/>
        <v>108.74999999999999</v>
      </c>
    </row>
    <row r="18" spans="1:11" s="27" customFormat="1" ht="20.25" customHeight="1">
      <c r="A18" s="12" t="s">
        <v>52</v>
      </c>
      <c r="B18" s="13">
        <f>SUM(B7:B17)</f>
        <v>5763.4800000000005</v>
      </c>
      <c r="C18" s="13">
        <f>SUM(C7:C17)</f>
        <v>5478.349999999999</v>
      </c>
      <c r="D18" s="18">
        <f>SUM(D7:D17)</f>
        <v>6029.558</v>
      </c>
      <c r="E18" s="31">
        <f t="shared" si="0"/>
        <v>104.616620513995</v>
      </c>
      <c r="F18" s="31">
        <f t="shared" si="1"/>
        <v>110.06156963319249</v>
      </c>
      <c r="G18" s="13">
        <f>SUM(G7:G17)</f>
        <v>6256</v>
      </c>
      <c r="H18" s="13">
        <f>SUM(H7:H17)</f>
        <v>6479.3</v>
      </c>
      <c r="I18" s="13">
        <f>SUM(I7:I17)</f>
        <v>6694.7</v>
      </c>
      <c r="J18" s="22">
        <f t="shared" si="2"/>
        <v>103.7555323292354</v>
      </c>
      <c r="K18" s="22">
        <f t="shared" si="3"/>
        <v>111.03135586389583</v>
      </c>
    </row>
    <row r="19" spans="1:11" s="27" customFormat="1" ht="20.25" customHeight="1">
      <c r="A19" s="12" t="s">
        <v>18</v>
      </c>
      <c r="B19" s="13">
        <v>34865</v>
      </c>
      <c r="C19" s="13">
        <v>34870</v>
      </c>
      <c r="D19" s="18">
        <v>34825</v>
      </c>
      <c r="E19" s="31">
        <f t="shared" si="0"/>
        <v>99.88527176251255</v>
      </c>
      <c r="F19" s="31">
        <f t="shared" si="1"/>
        <v>99.8709492400344</v>
      </c>
      <c r="G19" s="30">
        <f>'по Сессии прогноз'!G7</f>
        <v>34840</v>
      </c>
      <c r="H19" s="30">
        <f>'по Сессии прогноз'!H7</f>
        <v>34860</v>
      </c>
      <c r="I19" s="30">
        <f>'по Сессии прогноз'!I7</f>
        <v>34870</v>
      </c>
      <c r="J19" s="22">
        <f t="shared" si="2"/>
        <v>100.04307250538406</v>
      </c>
      <c r="K19" s="22">
        <f t="shared" si="3"/>
        <v>100.12921751615218</v>
      </c>
    </row>
    <row r="20" spans="1:11" s="27" customFormat="1" ht="25.5" customHeight="1">
      <c r="A20" s="12" t="s">
        <v>19</v>
      </c>
      <c r="B20" s="18">
        <v>13776</v>
      </c>
      <c r="C20" s="18">
        <v>13081</v>
      </c>
      <c r="D20" s="18">
        <v>14430</v>
      </c>
      <c r="E20" s="31">
        <f t="shared" si="0"/>
        <v>104.74738675958189</v>
      </c>
      <c r="F20" s="31">
        <f t="shared" si="1"/>
        <v>110.3126672272762</v>
      </c>
      <c r="G20" s="18">
        <f>'по Сессии прогноз'!G22</f>
        <v>14963.643321852276</v>
      </c>
      <c r="H20" s="18">
        <f>'по Сессии прогноз'!H22</f>
        <v>15488.143048384012</v>
      </c>
      <c r="I20" s="18">
        <f>'по Сессии прогноз'!I22</f>
        <v>15999.90440684447</v>
      </c>
      <c r="J20" s="22">
        <f t="shared" si="2"/>
        <v>103.6981519185882</v>
      </c>
      <c r="K20" s="22">
        <f t="shared" si="3"/>
        <v>110.8794484188806</v>
      </c>
    </row>
    <row r="21" spans="5:9" ht="12.75">
      <c r="E21" s="28"/>
      <c r="F21" s="28"/>
      <c r="G21" s="28"/>
      <c r="H21" s="28"/>
      <c r="I21" s="28"/>
    </row>
  </sheetData>
  <sheetProtection/>
  <mergeCells count="3">
    <mergeCell ref="A5:A6"/>
    <mergeCell ref="B5:K5"/>
    <mergeCell ref="A3:K3"/>
  </mergeCell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2">
      <selection activeCell="P31" sqref="P31"/>
    </sheetView>
  </sheetViews>
  <sheetFormatPr defaultColWidth="9.140625" defaultRowHeight="15"/>
  <cols>
    <col min="1" max="1" width="5.8515625" style="16" customWidth="1"/>
    <col min="2" max="2" width="29.28125" style="16" customWidth="1"/>
    <col min="3" max="6" width="9.28125" style="16" customWidth="1"/>
    <col min="7" max="9" width="9.140625" style="17" customWidth="1"/>
    <col min="10" max="12" width="10.140625" style="17" customWidth="1"/>
    <col min="13" max="16384" width="9.140625" style="17" customWidth="1"/>
  </cols>
  <sheetData>
    <row r="1" ht="15" hidden="1"/>
    <row r="2" spans="1:12" ht="35.25" customHeight="1">
      <c r="A2" s="153" t="s">
        <v>82</v>
      </c>
      <c r="B2" s="153"/>
      <c r="C2" s="153"/>
      <c r="D2" s="153"/>
      <c r="E2" s="153"/>
      <c r="F2" s="153"/>
      <c r="G2" s="45"/>
      <c r="H2" s="45"/>
      <c r="I2" s="45"/>
      <c r="J2" s="45"/>
      <c r="K2" s="45"/>
      <c r="L2" s="45"/>
    </row>
    <row r="3" spans="1:7" ht="17.25" customHeight="1">
      <c r="A3" s="46"/>
      <c r="B3" s="46"/>
      <c r="C3" s="46"/>
      <c r="D3" s="46"/>
      <c r="E3" s="152" t="s">
        <v>30</v>
      </c>
      <c r="F3" s="152"/>
      <c r="G3" s="42"/>
    </row>
    <row r="4" spans="1:7" ht="52.5" customHeight="1">
      <c r="A4" s="10" t="s">
        <v>31</v>
      </c>
      <c r="B4" s="10" t="s">
        <v>21</v>
      </c>
      <c r="C4" s="10" t="s">
        <v>49</v>
      </c>
      <c r="D4" s="20" t="s">
        <v>54</v>
      </c>
      <c r="E4" s="8" t="s">
        <v>57</v>
      </c>
      <c r="F4" s="10" t="s">
        <v>58</v>
      </c>
      <c r="G4" s="42"/>
    </row>
    <row r="5" spans="1:6" ht="18.75" customHeight="1">
      <c r="A5" s="10">
        <v>1</v>
      </c>
      <c r="B5" s="12" t="s">
        <v>22</v>
      </c>
      <c r="C5" s="29">
        <v>976758</v>
      </c>
      <c r="D5" s="29">
        <v>1522609</v>
      </c>
      <c r="E5" s="22">
        <f>D5/C5*100</f>
        <v>155.8839548793048</v>
      </c>
      <c r="F5" s="29">
        <f>D5-C5</f>
        <v>545851</v>
      </c>
    </row>
    <row r="6" spans="1:6" ht="18.75" customHeight="1">
      <c r="A6" s="10">
        <v>2</v>
      </c>
      <c r="B6" s="12" t="s">
        <v>3</v>
      </c>
      <c r="C6" s="29">
        <v>1175688</v>
      </c>
      <c r="D6" s="29">
        <v>1308337</v>
      </c>
      <c r="E6" s="22">
        <f aca="true" t="shared" si="0" ref="E6:E14">D6/C6*100</f>
        <v>111.28267023223847</v>
      </c>
      <c r="F6" s="29">
        <f aca="true" t="shared" si="1" ref="F6:F14">D6-C6</f>
        <v>132649</v>
      </c>
    </row>
    <row r="7" spans="1:6" ht="18.75" customHeight="1">
      <c r="A7" s="10">
        <v>3</v>
      </c>
      <c r="B7" s="12" t="s">
        <v>4</v>
      </c>
      <c r="C7" s="29">
        <v>401002</v>
      </c>
      <c r="D7" s="29">
        <v>565028</v>
      </c>
      <c r="E7" s="22">
        <f t="shared" si="0"/>
        <v>140.90403539134468</v>
      </c>
      <c r="F7" s="29">
        <f t="shared" si="1"/>
        <v>164026</v>
      </c>
    </row>
    <row r="8" spans="1:6" ht="18.75" customHeight="1">
      <c r="A8" s="10">
        <v>4</v>
      </c>
      <c r="B8" s="12" t="s">
        <v>23</v>
      </c>
      <c r="C8" s="29">
        <v>253875</v>
      </c>
      <c r="D8" s="29">
        <v>282349</v>
      </c>
      <c r="E8" s="22">
        <f t="shared" si="0"/>
        <v>111.21575578532743</v>
      </c>
      <c r="F8" s="29">
        <f t="shared" si="1"/>
        <v>28474</v>
      </c>
    </row>
    <row r="9" spans="1:6" ht="18.75" customHeight="1">
      <c r="A9" s="10">
        <v>5</v>
      </c>
      <c r="B9" s="12" t="s">
        <v>24</v>
      </c>
      <c r="C9" s="29">
        <v>170000</v>
      </c>
      <c r="D9" s="29">
        <v>192000</v>
      </c>
      <c r="E9" s="22">
        <f t="shared" si="0"/>
        <v>112.94117647058823</v>
      </c>
      <c r="F9" s="29">
        <f t="shared" si="1"/>
        <v>22000</v>
      </c>
    </row>
    <row r="10" spans="1:6" ht="18.75" customHeight="1">
      <c r="A10" s="10">
        <v>6</v>
      </c>
      <c r="B10" s="12" t="s">
        <v>29</v>
      </c>
      <c r="C10" s="29">
        <v>185723</v>
      </c>
      <c r="D10" s="29">
        <v>242250</v>
      </c>
      <c r="E10" s="22">
        <f t="shared" si="0"/>
        <v>130.436187225061</v>
      </c>
      <c r="F10" s="29">
        <f t="shared" si="1"/>
        <v>56527</v>
      </c>
    </row>
    <row r="11" spans="1:6" ht="30" customHeight="1">
      <c r="A11" s="10">
        <v>7</v>
      </c>
      <c r="B11" s="12" t="s">
        <v>27</v>
      </c>
      <c r="C11" s="13">
        <v>1228005</v>
      </c>
      <c r="D11" s="13">
        <v>1358568</v>
      </c>
      <c r="E11" s="22">
        <f t="shared" si="0"/>
        <v>110.63212283337609</v>
      </c>
      <c r="F11" s="29">
        <f t="shared" si="1"/>
        <v>130563</v>
      </c>
    </row>
    <row r="12" spans="1:6" ht="29.25" customHeight="1">
      <c r="A12" s="10">
        <v>8</v>
      </c>
      <c r="B12" s="15" t="s">
        <v>28</v>
      </c>
      <c r="C12" s="29">
        <v>259390</v>
      </c>
      <c r="D12" s="29">
        <v>381447</v>
      </c>
      <c r="E12" s="22">
        <f t="shared" si="0"/>
        <v>147.05539920582908</v>
      </c>
      <c r="F12" s="29">
        <f t="shared" si="1"/>
        <v>122057</v>
      </c>
    </row>
    <row r="13" spans="1:6" ht="27.75" customHeight="1">
      <c r="A13" s="10">
        <v>9</v>
      </c>
      <c r="B13" s="12" t="s">
        <v>25</v>
      </c>
      <c r="C13" s="29">
        <v>7627</v>
      </c>
      <c r="D13" s="29">
        <v>6312</v>
      </c>
      <c r="E13" s="22">
        <f t="shared" si="0"/>
        <v>82.75862068965517</v>
      </c>
      <c r="F13" s="29">
        <f t="shared" si="1"/>
        <v>-1315</v>
      </c>
    </row>
    <row r="14" spans="1:6" ht="18.75" customHeight="1">
      <c r="A14" s="20"/>
      <c r="B14" s="24" t="s">
        <v>26</v>
      </c>
      <c r="C14" s="23">
        <f>SUM(C5:C13)</f>
        <v>4658068</v>
      </c>
      <c r="D14" s="23">
        <f>SUM(D5:D13)</f>
        <v>5858900</v>
      </c>
      <c r="E14" s="25">
        <f t="shared" si="0"/>
        <v>125.77961506787794</v>
      </c>
      <c r="F14" s="21">
        <f t="shared" si="1"/>
        <v>1200832</v>
      </c>
    </row>
    <row r="15" spans="1:6" ht="18.75" customHeight="1">
      <c r="A15" s="37"/>
      <c r="B15" s="38"/>
      <c r="C15" s="39"/>
      <c r="D15" s="39"/>
      <c r="E15" s="40"/>
      <c r="F15" s="41"/>
    </row>
    <row r="16" spans="1:6" ht="18.75" customHeight="1">
      <c r="A16" s="37"/>
      <c r="B16" s="38"/>
      <c r="C16" s="39"/>
      <c r="D16" s="39"/>
      <c r="E16" s="40"/>
      <c r="F16" s="41"/>
    </row>
    <row r="17" spans="1:6" ht="18.75" customHeight="1">
      <c r="A17" s="37"/>
      <c r="B17" s="38"/>
      <c r="C17" s="39"/>
      <c r="D17" s="39"/>
      <c r="E17" s="40"/>
      <c r="F17" s="41"/>
    </row>
    <row r="18" spans="1:6" ht="18.75" customHeight="1">
      <c r="A18" s="37"/>
      <c r="B18" s="38"/>
      <c r="C18" s="39"/>
      <c r="D18" s="39"/>
      <c r="E18" s="40"/>
      <c r="F18" s="41"/>
    </row>
    <row r="19" spans="1:6" ht="18.75" customHeight="1">
      <c r="A19" s="37"/>
      <c r="B19" s="38"/>
      <c r="C19" s="39"/>
      <c r="D19" s="39"/>
      <c r="E19" s="40"/>
      <c r="F19" s="41"/>
    </row>
    <row r="20" spans="1:6" ht="18.75" customHeight="1">
      <c r="A20" s="37"/>
      <c r="B20" s="38"/>
      <c r="C20" s="39"/>
      <c r="D20" s="39"/>
      <c r="E20" s="40"/>
      <c r="F20" s="41"/>
    </row>
    <row r="21" spans="1:6" ht="18.75" customHeight="1">
      <c r="A21" s="37"/>
      <c r="B21" s="38"/>
      <c r="C21" s="39"/>
      <c r="D21" s="39"/>
      <c r="E21" s="40"/>
      <c r="F21" s="41"/>
    </row>
    <row r="22" spans="1:6" ht="18.75" customHeight="1">
      <c r="A22" s="37"/>
      <c r="B22" s="38"/>
      <c r="C22" s="39"/>
      <c r="D22" s="39"/>
      <c r="E22" s="40"/>
      <c r="F22" s="41"/>
    </row>
    <row r="23" spans="1:6" ht="18.75" customHeight="1">
      <c r="A23" s="37"/>
      <c r="B23" s="38"/>
      <c r="C23" s="39"/>
      <c r="D23" s="39"/>
      <c r="E23" s="40"/>
      <c r="F23" s="41"/>
    </row>
    <row r="24" spans="1:6" ht="18.75" customHeight="1">
      <c r="A24" s="37"/>
      <c r="B24" s="38"/>
      <c r="C24" s="39"/>
      <c r="D24" s="39"/>
      <c r="E24" s="40"/>
      <c r="F24" s="41"/>
    </row>
    <row r="25" spans="1:12" ht="35.25" customHeight="1">
      <c r="A25" s="153" t="s">
        <v>83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7" spans="11:12" ht="15">
      <c r="K27" s="152" t="s">
        <v>30</v>
      </c>
      <c r="L27" s="152"/>
    </row>
    <row r="28" spans="1:12" ht="43.5" customHeight="1">
      <c r="A28" s="10" t="s">
        <v>31</v>
      </c>
      <c r="B28" s="10" t="s">
        <v>21</v>
      </c>
      <c r="C28" s="19" t="s">
        <v>1</v>
      </c>
      <c r="D28" s="19" t="s">
        <v>59</v>
      </c>
      <c r="E28" s="8" t="s">
        <v>55</v>
      </c>
      <c r="F28" s="8" t="s">
        <v>60</v>
      </c>
      <c r="G28" s="11" t="s">
        <v>61</v>
      </c>
      <c r="H28" s="8" t="s">
        <v>50</v>
      </c>
      <c r="I28" s="8" t="s">
        <v>51</v>
      </c>
      <c r="J28" s="8" t="s">
        <v>56</v>
      </c>
      <c r="K28" s="8" t="s">
        <v>62</v>
      </c>
      <c r="L28" s="11" t="s">
        <v>63</v>
      </c>
    </row>
    <row r="29" spans="1:12" ht="18.75" customHeight="1">
      <c r="A29" s="10">
        <v>1</v>
      </c>
      <c r="B29" s="12" t="s">
        <v>22</v>
      </c>
      <c r="C29" s="13">
        <v>2044972</v>
      </c>
      <c r="D29" s="29">
        <v>2550000</v>
      </c>
      <c r="E29" s="29">
        <v>2471000</v>
      </c>
      <c r="F29" s="25">
        <f>E29/C29*100</f>
        <v>120.83295028000383</v>
      </c>
      <c r="G29" s="25">
        <f>E29/D29*100</f>
        <v>96.90196078431373</v>
      </c>
      <c r="H29" s="29">
        <v>2550000</v>
      </c>
      <c r="I29" s="29">
        <v>2650000</v>
      </c>
      <c r="J29" s="4">
        <v>2700000</v>
      </c>
      <c r="K29" s="25">
        <f>H29/E29*100</f>
        <v>103.19708619991906</v>
      </c>
      <c r="L29" s="25">
        <f>J29/E29*100</f>
        <v>109.26750303520842</v>
      </c>
    </row>
    <row r="30" spans="1:12" ht="18.75" customHeight="1">
      <c r="A30" s="10">
        <v>2</v>
      </c>
      <c r="B30" s="12" t="s">
        <v>3</v>
      </c>
      <c r="C30" s="13">
        <v>1632953</v>
      </c>
      <c r="D30" s="4">
        <v>1700000</v>
      </c>
      <c r="E30" s="29">
        <v>1726700</v>
      </c>
      <c r="F30" s="25">
        <f aca="true" t="shared" si="2" ref="F30:F38">E30/C30*100</f>
        <v>105.74094906589472</v>
      </c>
      <c r="G30" s="25">
        <f aca="true" t="shared" si="3" ref="G30:G38">E30/D30*100</f>
        <v>101.57058823529412</v>
      </c>
      <c r="H30" s="29">
        <v>1800000</v>
      </c>
      <c r="I30" s="29">
        <v>1870000</v>
      </c>
      <c r="J30" s="4">
        <v>1900000</v>
      </c>
      <c r="K30" s="25">
        <f aca="true" t="shared" si="4" ref="K30:K38">H30/E30*100</f>
        <v>104.24509179359471</v>
      </c>
      <c r="L30" s="25">
        <f aca="true" t="shared" si="5" ref="L30:L38">J30/E30*100</f>
        <v>110.03648578212777</v>
      </c>
    </row>
    <row r="31" spans="1:12" ht="18.75" customHeight="1">
      <c r="A31" s="10">
        <v>3</v>
      </c>
      <c r="B31" s="12" t="s">
        <v>4</v>
      </c>
      <c r="C31" s="13">
        <v>702683</v>
      </c>
      <c r="D31" s="4">
        <v>800000</v>
      </c>
      <c r="E31" s="29">
        <v>900000</v>
      </c>
      <c r="F31" s="25">
        <f t="shared" si="2"/>
        <v>128.0805142574959</v>
      </c>
      <c r="G31" s="25">
        <f t="shared" si="3"/>
        <v>112.5</v>
      </c>
      <c r="H31" s="29">
        <v>800000</v>
      </c>
      <c r="I31" s="29">
        <v>800000</v>
      </c>
      <c r="J31" s="4">
        <v>800000</v>
      </c>
      <c r="K31" s="25">
        <f t="shared" si="4"/>
        <v>88.88888888888889</v>
      </c>
      <c r="L31" s="25">
        <f t="shared" si="5"/>
        <v>88.88888888888889</v>
      </c>
    </row>
    <row r="32" spans="1:12" ht="18.75" customHeight="1">
      <c r="A32" s="10">
        <v>4</v>
      </c>
      <c r="B32" s="12" t="s">
        <v>23</v>
      </c>
      <c r="C32" s="13">
        <v>359982</v>
      </c>
      <c r="D32" s="4">
        <v>350000</v>
      </c>
      <c r="E32" s="29">
        <v>377000</v>
      </c>
      <c r="F32" s="25">
        <f t="shared" si="2"/>
        <v>104.72745859515197</v>
      </c>
      <c r="G32" s="25">
        <f t="shared" si="3"/>
        <v>107.71428571428572</v>
      </c>
      <c r="H32" s="29">
        <v>388300</v>
      </c>
      <c r="I32" s="29">
        <v>398000</v>
      </c>
      <c r="J32" s="4">
        <v>406000</v>
      </c>
      <c r="K32" s="25">
        <f t="shared" si="4"/>
        <v>102.9973474801061</v>
      </c>
      <c r="L32" s="25">
        <f t="shared" si="5"/>
        <v>107.6923076923077</v>
      </c>
    </row>
    <row r="33" spans="1:12" ht="18.75" customHeight="1">
      <c r="A33" s="10">
        <v>5</v>
      </c>
      <c r="B33" s="12" t="s">
        <v>24</v>
      </c>
      <c r="C33" s="13">
        <v>250000</v>
      </c>
      <c r="D33" s="4">
        <v>280000</v>
      </c>
      <c r="E33" s="29">
        <v>280000</v>
      </c>
      <c r="F33" s="25">
        <f t="shared" si="2"/>
        <v>112.00000000000001</v>
      </c>
      <c r="G33" s="25">
        <f t="shared" si="3"/>
        <v>100</v>
      </c>
      <c r="H33" s="29">
        <v>300000</v>
      </c>
      <c r="I33" s="29">
        <v>320000</v>
      </c>
      <c r="J33" s="4">
        <v>350000</v>
      </c>
      <c r="K33" s="25">
        <f t="shared" si="4"/>
        <v>107.14285714285714</v>
      </c>
      <c r="L33" s="25">
        <f t="shared" si="5"/>
        <v>125</v>
      </c>
    </row>
    <row r="34" spans="1:12" ht="18.75" customHeight="1">
      <c r="A34" s="10">
        <v>6</v>
      </c>
      <c r="B34" s="12" t="s">
        <v>29</v>
      </c>
      <c r="C34" s="13">
        <v>267225</v>
      </c>
      <c r="D34" s="4">
        <v>270000</v>
      </c>
      <c r="E34" s="29">
        <v>300000</v>
      </c>
      <c r="F34" s="25">
        <f t="shared" si="2"/>
        <v>112.26494527083919</v>
      </c>
      <c r="G34" s="25">
        <f t="shared" si="3"/>
        <v>111.11111111111111</v>
      </c>
      <c r="H34" s="29">
        <v>325000</v>
      </c>
      <c r="I34" s="29">
        <v>350000</v>
      </c>
      <c r="J34" s="4">
        <v>375000</v>
      </c>
      <c r="K34" s="25">
        <f t="shared" si="4"/>
        <v>108.33333333333333</v>
      </c>
      <c r="L34" s="25">
        <f t="shared" si="5"/>
        <v>125</v>
      </c>
    </row>
    <row r="35" spans="1:12" ht="25.5">
      <c r="A35" s="10">
        <v>7</v>
      </c>
      <c r="B35" s="12" t="s">
        <v>27</v>
      </c>
      <c r="C35" s="13">
        <v>1704144</v>
      </c>
      <c r="D35" s="4">
        <v>1200000</v>
      </c>
      <c r="E35" s="13">
        <v>1800000</v>
      </c>
      <c r="F35" s="25">
        <f t="shared" si="2"/>
        <v>105.6248767709771</v>
      </c>
      <c r="G35" s="25">
        <f t="shared" si="3"/>
        <v>150</v>
      </c>
      <c r="H35" s="29">
        <v>1825000</v>
      </c>
      <c r="I35" s="29">
        <v>1850000</v>
      </c>
      <c r="J35" s="4">
        <f>I35*1.02</f>
        <v>1887000</v>
      </c>
      <c r="K35" s="25">
        <f t="shared" si="4"/>
        <v>101.38888888888889</v>
      </c>
      <c r="L35" s="25">
        <f t="shared" si="5"/>
        <v>104.83333333333333</v>
      </c>
    </row>
    <row r="36" spans="1:12" ht="25.5">
      <c r="A36" s="10">
        <v>8</v>
      </c>
      <c r="B36" s="15" t="s">
        <v>28</v>
      </c>
      <c r="C36" s="13">
        <v>339977</v>
      </c>
      <c r="D36" s="4">
        <v>300000</v>
      </c>
      <c r="E36" s="29">
        <v>450000</v>
      </c>
      <c r="F36" s="25">
        <f t="shared" si="2"/>
        <v>132.36189506937234</v>
      </c>
      <c r="G36" s="25">
        <f t="shared" si="3"/>
        <v>150</v>
      </c>
      <c r="H36" s="29">
        <v>460000</v>
      </c>
      <c r="I36" s="29">
        <v>472000</v>
      </c>
      <c r="J36" s="4">
        <v>481000</v>
      </c>
      <c r="K36" s="25">
        <f t="shared" si="4"/>
        <v>102.22222222222221</v>
      </c>
      <c r="L36" s="25">
        <f t="shared" si="5"/>
        <v>106.8888888888889</v>
      </c>
    </row>
    <row r="37" spans="1:12" ht="25.5">
      <c r="A37" s="10">
        <v>9</v>
      </c>
      <c r="B37" s="12" t="s">
        <v>25</v>
      </c>
      <c r="C37" s="13">
        <v>10354</v>
      </c>
      <c r="D37" s="4">
        <v>12000</v>
      </c>
      <c r="E37" s="29">
        <v>10500</v>
      </c>
      <c r="F37" s="25">
        <f t="shared" si="2"/>
        <v>101.41008305968708</v>
      </c>
      <c r="G37" s="25">
        <f t="shared" si="3"/>
        <v>87.5</v>
      </c>
      <c r="H37" s="29">
        <v>11000</v>
      </c>
      <c r="I37" s="29">
        <v>11300</v>
      </c>
      <c r="J37" s="4">
        <v>11500</v>
      </c>
      <c r="K37" s="25">
        <f t="shared" si="4"/>
        <v>104.76190476190477</v>
      </c>
      <c r="L37" s="25">
        <f t="shared" si="5"/>
        <v>109.52380952380953</v>
      </c>
    </row>
    <row r="38" spans="1:12" ht="21.75" customHeight="1">
      <c r="A38" s="20"/>
      <c r="B38" s="24" t="s">
        <v>26</v>
      </c>
      <c r="C38" s="23">
        <f>SUM(C29:C37)</f>
        <v>7312290</v>
      </c>
      <c r="D38" s="23">
        <f>SUM(D29:D37)</f>
        <v>7462000</v>
      </c>
      <c r="E38" s="23">
        <f>SUM(E29:E37)</f>
        <v>8315200</v>
      </c>
      <c r="F38" s="25">
        <f t="shared" si="2"/>
        <v>113.71540242523204</v>
      </c>
      <c r="G38" s="25">
        <f t="shared" si="3"/>
        <v>111.4339319217368</v>
      </c>
      <c r="H38" s="23">
        <f>SUM(H29:H37)</f>
        <v>8459300</v>
      </c>
      <c r="I38" s="23">
        <f>SUM(I29:I37)</f>
        <v>8721300</v>
      </c>
      <c r="J38" s="23">
        <f>SUM(J29:J37)</f>
        <v>8910500</v>
      </c>
      <c r="K38" s="25">
        <f t="shared" si="4"/>
        <v>101.73297094477583</v>
      </c>
      <c r="L38" s="25">
        <f t="shared" si="5"/>
        <v>107.15917837213777</v>
      </c>
    </row>
    <row r="40" spans="5:12" s="16" customFormat="1" ht="15">
      <c r="E40" s="43"/>
      <c r="H40" s="44"/>
      <c r="I40" s="44"/>
      <c r="J40" s="44"/>
      <c r="K40" s="17"/>
      <c r="L40" s="17"/>
    </row>
    <row r="41" spans="1:12" s="16" customFormat="1" ht="15">
      <c r="A41" s="17"/>
      <c r="B41" s="17"/>
      <c r="G41" s="17"/>
      <c r="H41" s="17"/>
      <c r="I41" s="17"/>
      <c r="J41" s="17"/>
      <c r="K41" s="17"/>
      <c r="L41" s="17"/>
    </row>
  </sheetData>
  <sheetProtection/>
  <mergeCells count="4">
    <mergeCell ref="K27:L27"/>
    <mergeCell ref="A25:L25"/>
    <mergeCell ref="A2:F2"/>
    <mergeCell ref="E3:F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A3" sqref="A3:J3"/>
    </sheetView>
  </sheetViews>
  <sheetFormatPr defaultColWidth="9.140625" defaultRowHeight="15"/>
  <cols>
    <col min="1" max="1" width="45.421875" style="1" customWidth="1"/>
    <col min="2" max="9" width="9.140625" style="1" customWidth="1"/>
    <col min="10" max="16384" width="9.140625" style="1" customWidth="1"/>
  </cols>
  <sheetData>
    <row r="1" ht="27.75" customHeight="1">
      <c r="I1" s="164" t="s">
        <v>154</v>
      </c>
    </row>
    <row r="2" spans="1:10" ht="12.7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 customHeight="1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</row>
    <row r="5" spans="1:11" ht="18.75" customHeight="1">
      <c r="A5" s="158"/>
      <c r="B5" s="160" t="s">
        <v>1</v>
      </c>
      <c r="C5" s="160" t="s">
        <v>59</v>
      </c>
      <c r="D5" s="160" t="s">
        <v>55</v>
      </c>
      <c r="E5" s="162" t="s">
        <v>69</v>
      </c>
      <c r="F5" s="162" t="s">
        <v>70</v>
      </c>
      <c r="G5" s="155" t="s">
        <v>65</v>
      </c>
      <c r="H5" s="156"/>
      <c r="I5" s="156"/>
      <c r="J5" s="156"/>
      <c r="K5" s="157"/>
    </row>
    <row r="6" spans="1:11" ht="51.75" customHeight="1">
      <c r="A6" s="159"/>
      <c r="B6" s="161"/>
      <c r="C6" s="161"/>
      <c r="D6" s="161"/>
      <c r="E6" s="163"/>
      <c r="F6" s="163"/>
      <c r="G6" s="8" t="s">
        <v>66</v>
      </c>
      <c r="H6" s="8" t="s">
        <v>152</v>
      </c>
      <c r="I6" s="8" t="s">
        <v>153</v>
      </c>
      <c r="J6" s="56" t="s">
        <v>71</v>
      </c>
      <c r="K6" s="57" t="s">
        <v>72</v>
      </c>
    </row>
    <row r="7" spans="1:11" ht="21.75" customHeight="1">
      <c r="A7" s="3" t="s">
        <v>32</v>
      </c>
      <c r="B7" s="26">
        <v>34865</v>
      </c>
      <c r="C7" s="49">
        <v>34870</v>
      </c>
      <c r="D7" s="26">
        <v>34825</v>
      </c>
      <c r="E7" s="54">
        <f>D7/B7*100</f>
        <v>99.88527176251255</v>
      </c>
      <c r="F7" s="54">
        <f>D7/C7*100</f>
        <v>99.8709492400344</v>
      </c>
      <c r="G7" s="26">
        <v>34840</v>
      </c>
      <c r="H7" s="26">
        <v>34860</v>
      </c>
      <c r="I7" s="26">
        <v>34870</v>
      </c>
      <c r="J7" s="54">
        <f>G7/D7*100</f>
        <v>100.04307250538406</v>
      </c>
      <c r="K7" s="54">
        <f>I7/D7*100</f>
        <v>100.12921751615218</v>
      </c>
    </row>
    <row r="8" spans="1:11" ht="21.75" customHeight="1">
      <c r="A8" s="3" t="s">
        <v>33</v>
      </c>
      <c r="B8" s="34">
        <f>ВТП!C38</f>
        <v>7312290</v>
      </c>
      <c r="C8" s="50">
        <f>ВТП!D38</f>
        <v>7462000</v>
      </c>
      <c r="D8" s="50">
        <f>ВТП!E38</f>
        <v>8315200</v>
      </c>
      <c r="E8" s="55">
        <f aca="true" t="shared" si="0" ref="E8:E22">D8/B8*100</f>
        <v>113.71540242523204</v>
      </c>
      <c r="F8" s="55">
        <f aca="true" t="shared" si="1" ref="F8:F22">D8/C8*100</f>
        <v>111.4339319217368</v>
      </c>
      <c r="G8" s="34">
        <f>ВТП!H38</f>
        <v>8459300</v>
      </c>
      <c r="H8" s="34">
        <f>ВТП!I38</f>
        <v>8721300</v>
      </c>
      <c r="I8" s="34">
        <f>ВТП!J38</f>
        <v>8910500</v>
      </c>
      <c r="J8" s="55">
        <f aca="true" t="shared" si="2" ref="J8:J22">G8/D8*100</f>
        <v>101.73297094477583</v>
      </c>
      <c r="K8" s="55">
        <f aca="true" t="shared" si="3" ref="K8:K22">I8/D8*100</f>
        <v>107.15917837213777</v>
      </c>
    </row>
    <row r="9" spans="1:11" ht="21.75" customHeight="1">
      <c r="A9" s="3" t="s">
        <v>46</v>
      </c>
      <c r="B9" s="34">
        <f>ВТП!C30</f>
        <v>1632953</v>
      </c>
      <c r="C9" s="34">
        <f>ВТП!D30</f>
        <v>1700000</v>
      </c>
      <c r="D9" s="34">
        <f>ВТП!E30</f>
        <v>1726700</v>
      </c>
      <c r="E9" s="55">
        <f t="shared" si="0"/>
        <v>105.74094906589472</v>
      </c>
      <c r="F9" s="55">
        <f t="shared" si="1"/>
        <v>101.57058823529412</v>
      </c>
      <c r="G9" s="34">
        <f>ВТП!H30</f>
        <v>1800000</v>
      </c>
      <c r="H9" s="34">
        <f>ВТП!I30</f>
        <v>1870000</v>
      </c>
      <c r="I9" s="34">
        <f>ВТП!J30</f>
        <v>1900000</v>
      </c>
      <c r="J9" s="55">
        <f t="shared" si="2"/>
        <v>104.24509179359471</v>
      </c>
      <c r="K9" s="55">
        <f t="shared" si="3"/>
        <v>110.03648578212777</v>
      </c>
    </row>
    <row r="10" spans="1:11" ht="26.25" customHeight="1">
      <c r="A10" s="3" t="s">
        <v>34</v>
      </c>
      <c r="B10" s="34">
        <f>B11+B12</f>
        <v>3749116</v>
      </c>
      <c r="C10" s="34">
        <f>C11+C12</f>
        <v>3750000</v>
      </c>
      <c r="D10" s="34">
        <f>D11+D12</f>
        <v>4271000</v>
      </c>
      <c r="E10" s="55">
        <f t="shared" si="0"/>
        <v>113.9201881190126</v>
      </c>
      <c r="F10" s="55">
        <f t="shared" si="1"/>
        <v>113.89333333333333</v>
      </c>
      <c r="G10" s="34">
        <f>G11+G12</f>
        <v>4375000</v>
      </c>
      <c r="H10" s="34">
        <f>H11+H12</f>
        <v>4500000</v>
      </c>
      <c r="I10" s="34">
        <f>I11+I12</f>
        <v>4587000</v>
      </c>
      <c r="J10" s="55">
        <f t="shared" si="2"/>
        <v>102.4350269257785</v>
      </c>
      <c r="K10" s="55">
        <f t="shared" si="3"/>
        <v>107.39873565909623</v>
      </c>
    </row>
    <row r="11" spans="1:11" ht="21.75" customHeight="1">
      <c r="A11" s="3" t="s">
        <v>35</v>
      </c>
      <c r="B11" s="34">
        <f>ВТП!C29</f>
        <v>2044972</v>
      </c>
      <c r="C11" s="34">
        <f>ВТП!D29</f>
        <v>2550000</v>
      </c>
      <c r="D11" s="34">
        <f>ВТП!E29</f>
        <v>2471000</v>
      </c>
      <c r="E11" s="55">
        <f t="shared" si="0"/>
        <v>120.83295028000383</v>
      </c>
      <c r="F11" s="55">
        <f t="shared" si="1"/>
        <v>96.90196078431373</v>
      </c>
      <c r="G11" s="26">
        <f>ВТП!H29</f>
        <v>2550000</v>
      </c>
      <c r="H11" s="26">
        <f>ВТП!I29</f>
        <v>2650000</v>
      </c>
      <c r="I11" s="26">
        <f>ВТП!J29</f>
        <v>2700000</v>
      </c>
      <c r="J11" s="55">
        <f t="shared" si="2"/>
        <v>103.19708619991906</v>
      </c>
      <c r="K11" s="55">
        <f t="shared" si="3"/>
        <v>109.26750303520842</v>
      </c>
    </row>
    <row r="12" spans="1:11" ht="21.75" customHeight="1">
      <c r="A12" s="3" t="s">
        <v>36</v>
      </c>
      <c r="B12" s="34">
        <f>ВТП!C35</f>
        <v>1704144</v>
      </c>
      <c r="C12" s="34">
        <f>ВТП!D35</f>
        <v>1200000</v>
      </c>
      <c r="D12" s="34">
        <f>ВТП!E35</f>
        <v>1800000</v>
      </c>
      <c r="E12" s="55">
        <f t="shared" si="0"/>
        <v>105.6248767709771</v>
      </c>
      <c r="F12" s="55">
        <f t="shared" si="1"/>
        <v>150</v>
      </c>
      <c r="G12" s="26">
        <f>ВТП!H35</f>
        <v>1825000</v>
      </c>
      <c r="H12" s="26">
        <f>ВТП!I35</f>
        <v>1850000</v>
      </c>
      <c r="I12" s="26">
        <f>ВТП!J35</f>
        <v>1887000</v>
      </c>
      <c r="J12" s="55">
        <f t="shared" si="2"/>
        <v>101.38888888888889</v>
      </c>
      <c r="K12" s="55">
        <f t="shared" si="3"/>
        <v>104.83333333333333</v>
      </c>
    </row>
    <row r="13" spans="1:11" ht="21.75" customHeight="1">
      <c r="A13" s="3" t="s">
        <v>45</v>
      </c>
      <c r="B13" s="26">
        <v>894002</v>
      </c>
      <c r="C13" s="49">
        <v>700000</v>
      </c>
      <c r="D13" s="34">
        <v>850000</v>
      </c>
      <c r="E13" s="55">
        <f t="shared" si="0"/>
        <v>95.07808707363071</v>
      </c>
      <c r="F13" s="55">
        <f t="shared" si="1"/>
        <v>121.42857142857142</v>
      </c>
      <c r="G13" s="26">
        <v>900000</v>
      </c>
      <c r="H13" s="26">
        <v>950000</v>
      </c>
      <c r="I13" s="26">
        <v>1000000</v>
      </c>
      <c r="J13" s="55">
        <f t="shared" si="2"/>
        <v>105.88235294117648</v>
      </c>
      <c r="K13" s="55">
        <f t="shared" si="3"/>
        <v>117.64705882352942</v>
      </c>
    </row>
    <row r="14" spans="1:11" ht="21.75" customHeight="1">
      <c r="A14" s="9" t="s">
        <v>37</v>
      </c>
      <c r="B14" s="34">
        <f>ВТП!C31</f>
        <v>702683</v>
      </c>
      <c r="C14" s="34">
        <f>ВТП!D31</f>
        <v>800000</v>
      </c>
      <c r="D14" s="34">
        <f>ВТП!E31</f>
        <v>900000</v>
      </c>
      <c r="E14" s="55">
        <f t="shared" si="0"/>
        <v>128.0805142574959</v>
      </c>
      <c r="F14" s="55">
        <f t="shared" si="1"/>
        <v>112.5</v>
      </c>
      <c r="G14" s="26">
        <f>ВТП!H31</f>
        <v>800000</v>
      </c>
      <c r="H14" s="26">
        <f>ВТП!I31</f>
        <v>800000</v>
      </c>
      <c r="I14" s="26">
        <f>ВТП!J31</f>
        <v>800000</v>
      </c>
      <c r="J14" s="55">
        <f t="shared" si="2"/>
        <v>88.88888888888889</v>
      </c>
      <c r="K14" s="55">
        <f t="shared" si="3"/>
        <v>88.88888888888889</v>
      </c>
    </row>
    <row r="15" spans="1:11" ht="21.75" customHeight="1">
      <c r="A15" s="3" t="s">
        <v>38</v>
      </c>
      <c r="B15" s="26">
        <v>1820570</v>
      </c>
      <c r="C15" s="49">
        <v>1850000</v>
      </c>
      <c r="D15" s="26">
        <v>2000000</v>
      </c>
      <c r="E15" s="55">
        <f t="shared" si="0"/>
        <v>109.85570453209709</v>
      </c>
      <c r="F15" s="55">
        <f t="shared" si="1"/>
        <v>108.10810810810811</v>
      </c>
      <c r="G15" s="26">
        <v>2143000</v>
      </c>
      <c r="H15" s="26">
        <v>2315000</v>
      </c>
      <c r="I15" s="26">
        <v>2500000</v>
      </c>
      <c r="J15" s="55">
        <f t="shared" si="2"/>
        <v>107.14999999999999</v>
      </c>
      <c r="K15" s="55">
        <f t="shared" si="3"/>
        <v>125</v>
      </c>
    </row>
    <row r="16" spans="1:11" ht="21.75" customHeight="1">
      <c r="A16" s="3" t="s">
        <v>53</v>
      </c>
      <c r="B16" s="26">
        <v>9476</v>
      </c>
      <c r="C16" s="49">
        <v>9550</v>
      </c>
      <c r="D16" s="51">
        <v>9180</v>
      </c>
      <c r="E16" s="55">
        <f t="shared" si="0"/>
        <v>96.87631912199241</v>
      </c>
      <c r="F16" s="55">
        <f t="shared" si="1"/>
        <v>96.12565445026178</v>
      </c>
      <c r="G16" s="26">
        <v>9300</v>
      </c>
      <c r="H16" s="26">
        <v>9500</v>
      </c>
      <c r="I16" s="26">
        <v>9700</v>
      </c>
      <c r="J16" s="55">
        <f t="shared" si="2"/>
        <v>101.30718954248366</v>
      </c>
      <c r="K16" s="55">
        <f t="shared" si="3"/>
        <v>105.6644880174292</v>
      </c>
    </row>
    <row r="17" spans="1:11" ht="21.75" customHeight="1">
      <c r="A17" s="3" t="s">
        <v>39</v>
      </c>
      <c r="B17" s="26">
        <v>1554403</v>
      </c>
      <c r="C17" s="49">
        <v>1650650</v>
      </c>
      <c r="D17" s="34">
        <v>1690000</v>
      </c>
      <c r="E17" s="55">
        <f t="shared" si="0"/>
        <v>108.7234134262479</v>
      </c>
      <c r="F17" s="55">
        <f t="shared" si="1"/>
        <v>102.38390936903643</v>
      </c>
      <c r="G17" s="26">
        <v>1770000</v>
      </c>
      <c r="H17" s="26">
        <v>1880000</v>
      </c>
      <c r="I17" s="26">
        <v>1990000</v>
      </c>
      <c r="J17" s="55">
        <f t="shared" si="2"/>
        <v>104.73372781065089</v>
      </c>
      <c r="K17" s="55">
        <f t="shared" si="3"/>
        <v>117.75147928994083</v>
      </c>
    </row>
    <row r="18" spans="1:11" ht="21.75" customHeight="1">
      <c r="A18" s="3" t="s">
        <v>40</v>
      </c>
      <c r="B18" s="26">
        <v>14312</v>
      </c>
      <c r="C18" s="49">
        <v>15850</v>
      </c>
      <c r="D18" s="52">
        <v>17050</v>
      </c>
      <c r="E18" s="55">
        <f t="shared" si="0"/>
        <v>119.13079932923421</v>
      </c>
      <c r="F18" s="55">
        <f t="shared" si="1"/>
        <v>107.57097791798107</v>
      </c>
      <c r="G18" s="34">
        <v>18165</v>
      </c>
      <c r="H18" s="34">
        <v>19332</v>
      </c>
      <c r="I18" s="34">
        <v>20509</v>
      </c>
      <c r="J18" s="55">
        <f t="shared" si="2"/>
        <v>106.53958944281526</v>
      </c>
      <c r="K18" s="55">
        <f t="shared" si="3"/>
        <v>120.28739002932551</v>
      </c>
    </row>
    <row r="19" spans="1:11" ht="26.25" customHeight="1">
      <c r="A19" s="3" t="s">
        <v>41</v>
      </c>
      <c r="B19" s="26">
        <v>121</v>
      </c>
      <c r="C19" s="49">
        <v>200</v>
      </c>
      <c r="D19" s="26">
        <v>200</v>
      </c>
      <c r="E19" s="55">
        <f t="shared" si="0"/>
        <v>165.28925619834712</v>
      </c>
      <c r="F19" s="55">
        <f t="shared" si="1"/>
        <v>100</v>
      </c>
      <c r="G19" s="26">
        <v>200</v>
      </c>
      <c r="H19" s="26">
        <v>200</v>
      </c>
      <c r="I19" s="26">
        <v>200</v>
      </c>
      <c r="J19" s="55">
        <f t="shared" si="2"/>
        <v>100</v>
      </c>
      <c r="K19" s="55">
        <f t="shared" si="3"/>
        <v>100</v>
      </c>
    </row>
    <row r="20" spans="1:11" ht="21.75" customHeight="1">
      <c r="A20" s="3" t="s">
        <v>42</v>
      </c>
      <c r="B20" s="26">
        <v>0.78</v>
      </c>
      <c r="C20" s="49">
        <v>1.1</v>
      </c>
      <c r="D20" s="26">
        <v>1.1</v>
      </c>
      <c r="E20" s="55">
        <f t="shared" si="0"/>
        <v>141.02564102564102</v>
      </c>
      <c r="F20" s="55">
        <f t="shared" si="1"/>
        <v>100</v>
      </c>
      <c r="G20" s="26">
        <v>1.1</v>
      </c>
      <c r="H20" s="26">
        <v>1.1</v>
      </c>
      <c r="I20" s="26">
        <v>1.1</v>
      </c>
      <c r="J20" s="55">
        <f t="shared" si="2"/>
        <v>100</v>
      </c>
      <c r="K20" s="55">
        <f t="shared" si="3"/>
        <v>100</v>
      </c>
    </row>
    <row r="21" spans="1:11" ht="21.75" customHeight="1">
      <c r="A21" s="3" t="s">
        <v>43</v>
      </c>
      <c r="B21" s="26">
        <v>5763479</v>
      </c>
      <c r="C21" s="49">
        <v>5478350</v>
      </c>
      <c r="D21" s="34">
        <v>6030000</v>
      </c>
      <c r="E21" s="55">
        <f t="shared" si="0"/>
        <v>104.62430764474027</v>
      </c>
      <c r="F21" s="55">
        <f t="shared" si="1"/>
        <v>110.06963775589365</v>
      </c>
      <c r="G21" s="34">
        <v>6256000</v>
      </c>
      <c r="H21" s="34">
        <v>6479000</v>
      </c>
      <c r="I21" s="34">
        <v>6695000</v>
      </c>
      <c r="J21" s="55">
        <f t="shared" si="2"/>
        <v>103.74792703150912</v>
      </c>
      <c r="K21" s="55">
        <f t="shared" si="3"/>
        <v>111.02819237147597</v>
      </c>
    </row>
    <row r="22" spans="1:11" ht="21.75" customHeight="1">
      <c r="A22" s="3" t="s">
        <v>44</v>
      </c>
      <c r="B22" s="26">
        <v>13776</v>
      </c>
      <c r="C22" s="49">
        <v>13081</v>
      </c>
      <c r="D22" s="34">
        <v>14430</v>
      </c>
      <c r="E22" s="55">
        <f t="shared" si="0"/>
        <v>104.74738675958189</v>
      </c>
      <c r="F22" s="55">
        <f t="shared" si="1"/>
        <v>110.3126672272762</v>
      </c>
      <c r="G22" s="34">
        <f>G21/G7/12*1000</f>
        <v>14963.643321852276</v>
      </c>
      <c r="H22" s="34">
        <f>H21/H7/12*1000</f>
        <v>15488.143048384012</v>
      </c>
      <c r="I22" s="34">
        <f>I21/I7/12*1000</f>
        <v>15999.90440684447</v>
      </c>
      <c r="J22" s="55">
        <f t="shared" si="2"/>
        <v>103.6981519185882</v>
      </c>
      <c r="K22" s="55">
        <f t="shared" si="3"/>
        <v>110.8794484188806</v>
      </c>
    </row>
  </sheetData>
  <sheetProtection/>
  <mergeCells count="9">
    <mergeCell ref="A2:J2"/>
    <mergeCell ref="A3:J3"/>
    <mergeCell ref="G5:K5"/>
    <mergeCell ref="A5:A6"/>
    <mergeCell ref="B5:B6"/>
    <mergeCell ref="C5:C6"/>
    <mergeCell ref="D5:D6"/>
    <mergeCell ref="E5:E6"/>
    <mergeCell ref="F5:F6"/>
  </mergeCells>
  <printOptions/>
  <pageMargins left="0.5118110236220472" right="0.31496062992125984" top="0.35433070866141736" bottom="0.3543307086614173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1" max="1" width="11.8515625" style="1" customWidth="1"/>
    <col min="2" max="2" width="60.8515625" style="1" customWidth="1"/>
    <col min="3" max="6" width="12.421875" style="1" customWidth="1"/>
    <col min="7" max="7" width="8.140625" style="1" customWidth="1"/>
    <col min="8" max="8" width="8.00390625" style="1" customWidth="1"/>
    <col min="9" max="16384" width="9.140625" style="1" customWidth="1"/>
  </cols>
  <sheetData>
    <row r="1" spans="5:8" ht="27.75" customHeight="1">
      <c r="E1" s="164" t="s">
        <v>155</v>
      </c>
      <c r="H1" s="36"/>
    </row>
    <row r="2" spans="2:8" ht="12.75" customHeight="1">
      <c r="B2" s="154" t="s">
        <v>6</v>
      </c>
      <c r="C2" s="154"/>
      <c r="D2" s="154"/>
      <c r="E2" s="154"/>
      <c r="F2" s="154"/>
      <c r="G2" s="47"/>
      <c r="H2" s="47"/>
    </row>
    <row r="3" spans="2:8" ht="12.75" customHeight="1">
      <c r="B3" s="154" t="s">
        <v>64</v>
      </c>
      <c r="C3" s="154"/>
      <c r="D3" s="154"/>
      <c r="E3" s="154"/>
      <c r="F3" s="154"/>
      <c r="G3" s="47"/>
      <c r="H3" s="47"/>
    </row>
    <row r="4" spans="2:8" ht="12.75">
      <c r="B4" s="35"/>
      <c r="C4" s="35"/>
      <c r="D4" s="35"/>
      <c r="E4" s="35"/>
      <c r="F4" s="35"/>
      <c r="G4" s="35"/>
      <c r="H4" s="35"/>
    </row>
    <row r="5" spans="2:6" ht="79.5" customHeight="1">
      <c r="B5" s="6" t="s">
        <v>0</v>
      </c>
      <c r="C5" s="8" t="s">
        <v>49</v>
      </c>
      <c r="D5" s="20" t="s">
        <v>54</v>
      </c>
      <c r="E5" s="8" t="s">
        <v>57</v>
      </c>
      <c r="F5" s="10" t="s">
        <v>58</v>
      </c>
    </row>
    <row r="6" spans="2:6" ht="19.5" customHeight="1">
      <c r="B6" s="48" t="s">
        <v>32</v>
      </c>
      <c r="C6" s="5">
        <v>34865</v>
      </c>
      <c r="D6" s="5">
        <v>34825</v>
      </c>
      <c r="E6" s="33">
        <f>D6/C6*100</f>
        <v>99.88527176251255</v>
      </c>
      <c r="F6" s="5">
        <f>D6-C6</f>
        <v>-40</v>
      </c>
    </row>
    <row r="7" spans="2:6" ht="19.5" customHeight="1">
      <c r="B7" s="48" t="s">
        <v>33</v>
      </c>
      <c r="C7" s="34">
        <f>ВТП!C14</f>
        <v>4658068</v>
      </c>
      <c r="D7" s="34">
        <f>ВТП!D14</f>
        <v>5858900</v>
      </c>
      <c r="E7" s="33">
        <f aca="true" t="shared" si="0" ref="E7:E21">D7/C7*100</f>
        <v>125.77961506787794</v>
      </c>
      <c r="F7" s="5">
        <f aca="true" t="shared" si="1" ref="F7:F21">D7-C7</f>
        <v>1200832</v>
      </c>
    </row>
    <row r="8" spans="2:6" ht="19.5" customHeight="1">
      <c r="B8" s="48" t="s">
        <v>46</v>
      </c>
      <c r="C8" s="14">
        <f>ВТП!C6</f>
        <v>1175688</v>
      </c>
      <c r="D8" s="14">
        <f>ВТП!D6</f>
        <v>1308337</v>
      </c>
      <c r="E8" s="33">
        <f t="shared" si="0"/>
        <v>111.28267023223847</v>
      </c>
      <c r="F8" s="5">
        <f t="shared" si="1"/>
        <v>132649</v>
      </c>
    </row>
    <row r="9" spans="2:6" ht="31.5" customHeight="1">
      <c r="B9" s="48" t="s">
        <v>34</v>
      </c>
      <c r="C9" s="14">
        <f>C10+C11</f>
        <v>2204763</v>
      </c>
      <c r="D9" s="14">
        <f>D10+D11</f>
        <v>2881177</v>
      </c>
      <c r="E9" s="33">
        <f t="shared" si="0"/>
        <v>130.67966942478623</v>
      </c>
      <c r="F9" s="5">
        <f t="shared" si="1"/>
        <v>676414</v>
      </c>
    </row>
    <row r="10" spans="2:6" ht="19.5" customHeight="1">
      <c r="B10" s="48" t="s">
        <v>35</v>
      </c>
      <c r="C10" s="26">
        <f>ВТП!C5</f>
        <v>976758</v>
      </c>
      <c r="D10" s="26">
        <f>ВТП!D5</f>
        <v>1522609</v>
      </c>
      <c r="E10" s="33">
        <f t="shared" si="0"/>
        <v>155.8839548793048</v>
      </c>
      <c r="F10" s="5">
        <f t="shared" si="1"/>
        <v>545851</v>
      </c>
    </row>
    <row r="11" spans="2:6" ht="19.5" customHeight="1">
      <c r="B11" s="48" t="s">
        <v>36</v>
      </c>
      <c r="C11" s="14">
        <f>ВТП!C11</f>
        <v>1228005</v>
      </c>
      <c r="D11" s="14">
        <f>ВТП!D11</f>
        <v>1358568</v>
      </c>
      <c r="E11" s="33">
        <f t="shared" si="0"/>
        <v>110.63212283337609</v>
      </c>
      <c r="F11" s="5">
        <f t="shared" si="1"/>
        <v>130563</v>
      </c>
    </row>
    <row r="12" spans="2:6" ht="19.5" customHeight="1">
      <c r="B12" s="48" t="s">
        <v>45</v>
      </c>
      <c r="C12" s="5">
        <v>561178</v>
      </c>
      <c r="D12" s="5">
        <v>599757</v>
      </c>
      <c r="E12" s="33">
        <f t="shared" si="0"/>
        <v>106.87464583429855</v>
      </c>
      <c r="F12" s="5">
        <f t="shared" si="1"/>
        <v>38579</v>
      </c>
    </row>
    <row r="13" spans="2:6" ht="19.5" customHeight="1">
      <c r="B13" s="9" t="s">
        <v>37</v>
      </c>
      <c r="C13" s="5">
        <f>ВТП!C7</f>
        <v>401002</v>
      </c>
      <c r="D13" s="5">
        <f>ВТП!D7</f>
        <v>565028</v>
      </c>
      <c r="E13" s="33">
        <f t="shared" si="0"/>
        <v>140.90403539134468</v>
      </c>
      <c r="F13" s="5">
        <f t="shared" si="1"/>
        <v>164026</v>
      </c>
    </row>
    <row r="14" spans="2:6" ht="19.5" customHeight="1">
      <c r="B14" s="48" t="s">
        <v>38</v>
      </c>
      <c r="C14" s="5">
        <v>1238150</v>
      </c>
      <c r="D14" s="5">
        <v>1615000</v>
      </c>
      <c r="E14" s="33">
        <f t="shared" si="0"/>
        <v>130.43653838387917</v>
      </c>
      <c r="F14" s="5">
        <f t="shared" si="1"/>
        <v>376850</v>
      </c>
    </row>
    <row r="15" spans="2:6" ht="19.5" customHeight="1">
      <c r="B15" s="48" t="s">
        <v>53</v>
      </c>
      <c r="C15" s="5">
        <v>9555</v>
      </c>
      <c r="D15" s="5">
        <v>9176</v>
      </c>
      <c r="E15" s="33">
        <f t="shared" si="0"/>
        <v>96.0334903192046</v>
      </c>
      <c r="F15" s="5">
        <f t="shared" si="1"/>
        <v>-379</v>
      </c>
    </row>
    <row r="16" spans="2:6" ht="19.5" customHeight="1">
      <c r="B16" s="48" t="s">
        <v>39</v>
      </c>
      <c r="C16" s="5">
        <v>1037058</v>
      </c>
      <c r="D16" s="5">
        <v>1192372</v>
      </c>
      <c r="E16" s="33">
        <f t="shared" si="0"/>
        <v>114.97640440553951</v>
      </c>
      <c r="F16" s="5">
        <f t="shared" si="1"/>
        <v>155314</v>
      </c>
    </row>
    <row r="17" spans="2:6" ht="19.5" customHeight="1">
      <c r="B17" s="48" t="s">
        <v>40</v>
      </c>
      <c r="C17" s="5">
        <v>14130</v>
      </c>
      <c r="D17" s="5">
        <v>17102</v>
      </c>
      <c r="E17" s="33">
        <f t="shared" si="0"/>
        <v>121.033262561925</v>
      </c>
      <c r="F17" s="5">
        <f t="shared" si="1"/>
        <v>2972</v>
      </c>
    </row>
    <row r="18" spans="2:6" ht="31.5" customHeight="1">
      <c r="B18" s="48" t="s">
        <v>41</v>
      </c>
      <c r="C18" s="5">
        <v>121</v>
      </c>
      <c r="D18" s="5">
        <v>142</v>
      </c>
      <c r="E18" s="33">
        <f t="shared" si="0"/>
        <v>117.35537190082646</v>
      </c>
      <c r="F18" s="5">
        <f t="shared" si="1"/>
        <v>21</v>
      </c>
    </row>
    <row r="19" spans="2:6" ht="19.5" customHeight="1">
      <c r="B19" s="48" t="s">
        <v>42</v>
      </c>
      <c r="C19" s="5">
        <v>0.78</v>
      </c>
      <c r="D19" s="5">
        <v>0.9</v>
      </c>
      <c r="E19" s="33">
        <f t="shared" si="0"/>
        <v>115.38461538461537</v>
      </c>
      <c r="F19" s="5">
        <f t="shared" si="1"/>
        <v>0.12</v>
      </c>
    </row>
    <row r="20" spans="2:6" ht="19.5" customHeight="1">
      <c r="B20" s="48" t="s">
        <v>43</v>
      </c>
      <c r="C20" s="5">
        <v>4143569</v>
      </c>
      <c r="D20" s="5">
        <v>4518436</v>
      </c>
      <c r="E20" s="33">
        <f t="shared" si="0"/>
        <v>109.04695927592856</v>
      </c>
      <c r="F20" s="5">
        <f t="shared" si="1"/>
        <v>374867</v>
      </c>
    </row>
    <row r="21" spans="2:6" ht="19.5" customHeight="1">
      <c r="B21" s="48" t="s">
        <v>44</v>
      </c>
      <c r="C21" s="5">
        <v>13205</v>
      </c>
      <c r="D21" s="5">
        <v>14416</v>
      </c>
      <c r="E21" s="33">
        <f t="shared" si="0"/>
        <v>109.17076864823932</v>
      </c>
      <c r="F21" s="5">
        <f t="shared" si="1"/>
        <v>1211</v>
      </c>
    </row>
    <row r="23" ht="12.75">
      <c r="D23" s="53"/>
    </row>
  </sheetData>
  <sheetProtection/>
  <mergeCells count="2">
    <mergeCell ref="B2:F2"/>
    <mergeCell ref="B3:F3"/>
  </mergeCells>
  <printOptions/>
  <pageMargins left="0.5118110236220472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Разина</cp:lastModifiedBy>
  <cp:lastPrinted>2014-10-23T09:56:08Z</cp:lastPrinted>
  <dcterms:created xsi:type="dcterms:W3CDTF">2013-07-29T10:47:39Z</dcterms:created>
  <dcterms:modified xsi:type="dcterms:W3CDTF">2014-10-23T09:56:52Z</dcterms:modified>
  <cp:category/>
  <cp:version/>
  <cp:contentType/>
  <cp:contentStatus/>
</cp:coreProperties>
</file>